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enne_projektmappe" defaultThemeVersion="124226"/>
  <bookViews>
    <workbookView xWindow="0" yWindow="600" windowWidth="15300" windowHeight="8250" firstSheet="1" activeTab="1"/>
  </bookViews>
  <sheets>
    <sheet name="Forside" sheetId="4" r:id="rId1"/>
    <sheet name="Fysiske konstanter" sheetId="1" r:id="rId2"/>
    <sheet name="Astronomiske konstanter" sheetId="2" r:id="rId3"/>
    <sheet name="Kosmologiske parmetre" sheetId="3" r:id="rId4"/>
    <sheet name="Ark til opgaver" sheetId="5" r:id="rId5"/>
  </sheets>
  <definedNames>
    <definedName name="a_a">'Astronomiske konstanter'!$C$10</definedName>
    <definedName name="a_aAnom">'Astronomiske konstanter'!$C$13</definedName>
    <definedName name="a_aDrak">'Astronomiske konstanter'!$C$14</definedName>
    <definedName name="a_ae">'Astronomiske konstanter'!$C$17</definedName>
    <definedName name="a_aSid">'Astronomiske konstanter'!$C$12</definedName>
    <definedName name="a_aTrop">'Astronomiske konstanter'!$C$11</definedName>
    <definedName name="a_d">'Astronomiske konstanter'!$C$9</definedName>
    <definedName name="a_dHubble">'Kosmologiske parmetre'!$C$11</definedName>
    <definedName name="a_GMSun">'Astronomiske konstanter'!$C$26</definedName>
    <definedName name="a_Gpc">'Astronomiske konstanter'!$E$22</definedName>
    <definedName name="a_H0">'Kosmologiske parmetre'!$F$9</definedName>
    <definedName name="a_kpc">'Astronomiske konstanter'!$E$20</definedName>
    <definedName name="a_la">'Astronomiske konstanter'!$C$18</definedName>
    <definedName name="a_Mpc">'Astronomiske konstanter'!$E$21</definedName>
    <definedName name="a_MSun">'Astronomiske konstanter'!$G$26</definedName>
    <definedName name="a_pc">'Astronomiske konstanter'!$E$19</definedName>
    <definedName name="a_tHubble">'Kosmologiske parmetre'!$C$10</definedName>
    <definedName name="p_c">'Fysiske konstanter'!$D$9</definedName>
    <definedName name="p_cc">'Fysiske konstanter'!$D$37</definedName>
    <definedName name="p_e">'Fysiske konstanter'!$D$10</definedName>
    <definedName name="p_EHydrogen">'Fysiske konstanter'!$D$28</definedName>
    <definedName name="p_Epsilon0">'Fysiske konstanter'!$D$24</definedName>
    <definedName name="p_G">'Fysiske konstanter'!$D$13</definedName>
    <definedName name="p_h">'Fysiske konstanter'!$D$11</definedName>
    <definedName name="p_kB">'Fysiske konstanter'!$D$15</definedName>
    <definedName name="p_kC">'Fysiske konstanter'!$D$16</definedName>
    <definedName name="p_me">'Fysiske konstanter'!$D$36</definedName>
    <definedName name="p_meRed">'Fysiske konstanter'!$D$27</definedName>
    <definedName name="p_mn">'Fysiske konstanter'!$D$35</definedName>
    <definedName name="p_mp">'Fysiske konstanter'!$D$34</definedName>
    <definedName name="p_My0">'Fysiske konstanter'!$D$23</definedName>
    <definedName name="p_NA">'Fysiske konstanter'!$D$14</definedName>
    <definedName name="p_NumDens">'Fysiske konstanter'!$D$19</definedName>
    <definedName name="p_RadDens">'Fysiske konstanter'!$D$18</definedName>
    <definedName name="p_Rydberg">'Fysiske konstanter'!$D$20</definedName>
    <definedName name="p_Stefan">'Fysiske konstanter'!$D$17</definedName>
    <definedName name="p_u">'Fysiske konstanter'!$D$33</definedName>
  </definedNames>
  <calcPr calcId="145621"/>
</workbook>
</file>

<file path=xl/calcChain.xml><?xml version="1.0" encoding="utf-8"?>
<calcChain xmlns="http://schemas.openxmlformats.org/spreadsheetml/2006/main">
  <c r="C11" i="3" l="1"/>
  <c r="F9" i="3"/>
  <c r="F36" i="3" l="1"/>
  <c r="D19" i="1" l="1"/>
  <c r="D34" i="3" l="1"/>
  <c r="D56" i="3" l="1"/>
  <c r="C56" i="3"/>
  <c r="C34" i="3"/>
  <c r="D33" i="3"/>
  <c r="C33" i="3"/>
  <c r="D31" i="3"/>
  <c r="C31" i="3"/>
  <c r="G13" i="3"/>
  <c r="C15" i="2" l="1"/>
  <c r="C16" i="2"/>
  <c r="F37" i="3" l="1"/>
  <c r="B2" i="3"/>
  <c r="B2" i="2"/>
  <c r="B2" i="1"/>
  <c r="D24" i="3"/>
  <c r="C24" i="3"/>
  <c r="C29" i="3"/>
  <c r="F29" i="3" s="1"/>
  <c r="D37" i="3"/>
  <c r="C37" i="3"/>
  <c r="D12" i="3"/>
  <c r="C12" i="3"/>
  <c r="G27" i="2" l="1"/>
  <c r="G28" i="2"/>
  <c r="G29" i="2"/>
  <c r="G30" i="2"/>
  <c r="G31" i="2"/>
  <c r="G32" i="2"/>
  <c r="G33" i="2"/>
  <c r="G34" i="2"/>
  <c r="G35" i="2"/>
  <c r="G26" i="2"/>
  <c r="C46" i="3" s="1"/>
  <c r="C10" i="2"/>
  <c r="C18" i="2" s="1"/>
  <c r="G18" i="2" s="1"/>
  <c r="D44" i="1"/>
  <c r="D43" i="1"/>
  <c r="D42" i="1"/>
  <c r="D41" i="1"/>
  <c r="D39" i="1"/>
  <c r="D38" i="1"/>
  <c r="D37" i="1"/>
  <c r="C44" i="2" s="1"/>
  <c r="F36" i="1"/>
  <c r="F35" i="1"/>
  <c r="F34" i="1"/>
  <c r="D29" i="1"/>
  <c r="D27" i="1"/>
  <c r="D17" i="1"/>
  <c r="D18" i="1" s="1"/>
  <c r="D12" i="1"/>
  <c r="F11" i="1"/>
  <c r="F9" i="1"/>
  <c r="E17" i="2"/>
  <c r="C12" i="2"/>
  <c r="C13" i="2"/>
  <c r="C14" i="2"/>
  <c r="C11" i="2"/>
  <c r="D40" i="1" l="1"/>
  <c r="F37" i="1"/>
  <c r="F41" i="1"/>
  <c r="C19" i="2" l="1"/>
  <c r="E19" i="2" l="1"/>
  <c r="C20" i="2"/>
  <c r="C21" i="2" s="1"/>
  <c r="C22" i="2" s="1"/>
  <c r="E44" i="2"/>
  <c r="E20" i="2" l="1"/>
  <c r="E21" i="2" s="1"/>
  <c r="G19" i="2"/>
  <c r="G20" i="2" s="1"/>
  <c r="G21" i="2" s="1"/>
  <c r="G22" i="2" s="1"/>
  <c r="E18" i="2"/>
  <c r="G9" i="3" l="1"/>
  <c r="D45" i="3" s="1"/>
  <c r="E22" i="2"/>
  <c r="C44" i="3"/>
  <c r="F42" i="3"/>
  <c r="F40" i="3"/>
  <c r="D43" i="3"/>
  <c r="C43" i="3"/>
  <c r="F43" i="3" s="1"/>
  <c r="D41" i="3"/>
  <c r="C41" i="3"/>
  <c r="F41" i="3" s="1"/>
  <c r="D49" i="1"/>
  <c r="F49" i="1" s="1"/>
  <c r="F47" i="1"/>
  <c r="D47" i="1"/>
  <c r="F48" i="1"/>
  <c r="F46" i="1"/>
  <c r="C10" i="3" l="1"/>
  <c r="C45" i="3"/>
  <c r="C43" i="2"/>
  <c r="C42" i="2"/>
  <c r="E41" i="2"/>
  <c r="C41" i="2" s="1"/>
  <c r="C40" i="2"/>
  <c r="C39" i="2"/>
  <c r="E38" i="2"/>
  <c r="F10" i="3" l="1"/>
  <c r="I11" i="3" s="1"/>
  <c r="F11" i="3"/>
  <c r="F34" i="3"/>
  <c r="F35" i="3"/>
  <c r="D10" i="3"/>
  <c r="C47" i="2"/>
  <c r="C48" i="2" s="1"/>
  <c r="F12" i="1"/>
  <c r="D23" i="1"/>
  <c r="F15" i="1"/>
  <c r="D24" i="1" l="1"/>
  <c r="D22" i="1"/>
  <c r="G10" i="3"/>
  <c r="J11" i="3" s="1"/>
  <c r="D11" i="3"/>
  <c r="G11" i="3" s="1"/>
  <c r="F40" i="1"/>
  <c r="F22" i="1"/>
  <c r="F38" i="1"/>
  <c r="F39" i="1"/>
  <c r="D20" i="1" l="1"/>
  <c r="D21" i="1" s="1"/>
  <c r="D28" i="1"/>
  <c r="F28" i="1" s="1"/>
</calcChain>
</file>

<file path=xl/sharedStrings.xml><?xml version="1.0" encoding="utf-8"?>
<sst xmlns="http://schemas.openxmlformats.org/spreadsheetml/2006/main" count="505" uniqueCount="339">
  <si>
    <t>Størrelse</t>
  </si>
  <si>
    <t>Symbol</t>
  </si>
  <si>
    <t>Talværdi</t>
  </si>
  <si>
    <t>Enhed</t>
  </si>
  <si>
    <t>Lysets fart</t>
  </si>
  <si>
    <r>
      <t>c</t>
    </r>
    <r>
      <rPr>
        <sz val="11"/>
        <color theme="1"/>
        <rFont val="Calibri"/>
        <family val="2"/>
        <scheme val="minor"/>
      </rPr>
      <t xml:space="preserve"> =</t>
    </r>
  </si>
  <si>
    <t>m/s</t>
  </si>
  <si>
    <t>Elementarladningen</t>
  </si>
  <si>
    <r>
      <t>e</t>
    </r>
    <r>
      <rPr>
        <sz val="11"/>
        <color theme="1"/>
        <rFont val="Calibri"/>
        <family val="2"/>
        <scheme val="minor"/>
      </rPr>
      <t xml:space="preserve"> =</t>
    </r>
  </si>
  <si>
    <t>C</t>
  </si>
  <si>
    <t>Atommasseenheden</t>
  </si>
  <si>
    <r>
      <t>u</t>
    </r>
    <r>
      <rPr>
        <sz val="11"/>
        <color theme="1"/>
        <rFont val="Calibri"/>
        <family val="2"/>
        <scheme val="minor"/>
      </rPr>
      <t xml:space="preserve"> =</t>
    </r>
  </si>
  <si>
    <t>kg</t>
  </si>
  <si>
    <t>u</t>
  </si>
  <si>
    <t>Protonens masse</t>
  </si>
  <si>
    <r>
      <t>m</t>
    </r>
    <r>
      <rPr>
        <vertAlign val="subscript"/>
        <sz val="10"/>
        <rFont val="Arial"/>
        <family val="2"/>
      </rPr>
      <t>p</t>
    </r>
    <r>
      <rPr>
        <sz val="11"/>
        <color theme="1"/>
        <rFont val="Calibri"/>
        <family val="2"/>
        <scheme val="minor"/>
      </rPr>
      <t xml:space="preserve"> = </t>
    </r>
  </si>
  <si>
    <t>Neutronens masse</t>
  </si>
  <si>
    <r>
      <t>m</t>
    </r>
    <r>
      <rPr>
        <vertAlign val="subscript"/>
        <sz val="1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= </t>
    </r>
  </si>
  <si>
    <t>Elektronens masse</t>
  </si>
  <si>
    <r>
      <t>m</t>
    </r>
    <r>
      <rPr>
        <vertAlign val="subscript"/>
        <sz val="10"/>
        <rFont val="Arial"/>
        <family val="2"/>
      </rPr>
      <t>e</t>
    </r>
    <r>
      <rPr>
        <sz val="11"/>
        <color theme="1"/>
        <rFont val="Calibri"/>
        <family val="2"/>
        <scheme val="minor"/>
      </rPr>
      <t xml:space="preserve"> = </t>
    </r>
  </si>
  <si>
    <t>Omregningsfaktor</t>
  </si>
  <si>
    <r>
      <t>c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</si>
  <si>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2"/>
        <scheme val="minor"/>
      </rPr>
      <t>2</t>
    </r>
  </si>
  <si>
    <t>MeV/u</t>
  </si>
  <si>
    <t>Protonenergi</t>
  </si>
  <si>
    <r>
      <t>m</t>
    </r>
    <r>
      <rPr>
        <vertAlign val="subscript"/>
        <sz val="10"/>
        <rFont val="Arial"/>
        <family val="2"/>
      </rPr>
      <t>p</t>
    </r>
    <r>
      <rPr>
        <sz val="11"/>
        <color theme="1"/>
        <rFont val="Calibri"/>
        <family val="2"/>
      </rPr>
      <t>·</t>
    </r>
    <r>
      <rPr>
        <i/>
        <sz val="10"/>
        <rFont val="Arial"/>
        <family val="2"/>
      </rPr>
      <t>c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= </t>
    </r>
  </si>
  <si>
    <t>J</t>
  </si>
  <si>
    <t>MeV</t>
  </si>
  <si>
    <t>Neutronenergi</t>
  </si>
  <si>
    <r>
      <t>m</t>
    </r>
    <r>
      <rPr>
        <vertAlign val="subscript"/>
        <sz val="10"/>
        <rFont val="Arial"/>
        <family val="2"/>
      </rPr>
      <t>n</t>
    </r>
    <r>
      <rPr>
        <sz val="11"/>
        <color theme="1"/>
        <rFont val="Calibri"/>
        <family val="2"/>
        <scheme val="minor"/>
      </rPr>
      <t>·</t>
    </r>
    <r>
      <rPr>
        <i/>
        <sz val="10"/>
        <rFont val="Arial"/>
        <family val="2"/>
      </rPr>
      <t>c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= </t>
    </r>
  </si>
  <si>
    <t>Elektronenergi</t>
  </si>
  <si>
    <r>
      <t>m</t>
    </r>
    <r>
      <rPr>
        <vertAlign val="subscript"/>
        <sz val="10"/>
        <rFont val="Arial"/>
        <family val="2"/>
      </rPr>
      <t>e</t>
    </r>
    <r>
      <rPr>
        <sz val="11"/>
        <color theme="1"/>
        <rFont val="Calibri"/>
        <family val="2"/>
        <scheme val="minor"/>
      </rPr>
      <t>·</t>
    </r>
    <r>
      <rPr>
        <i/>
        <sz val="10"/>
        <rFont val="Arial"/>
        <family val="2"/>
      </rPr>
      <t>c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= </t>
    </r>
  </si>
  <si>
    <t>1 eV</t>
  </si>
  <si>
    <t xml:space="preserve"> =</t>
  </si>
  <si>
    <t>eV</t>
  </si>
  <si>
    <t>1 keV</t>
  </si>
  <si>
    <t>1 MeV</t>
  </si>
  <si>
    <t>1 GeV</t>
  </si>
  <si>
    <t>Definerende konstant: Blå farve</t>
  </si>
  <si>
    <t>Beregnet konstant: Rød farve</t>
  </si>
  <si>
    <t>Målt konstant: Grøn farve</t>
  </si>
  <si>
    <t>Plancks konstant</t>
  </si>
  <si>
    <t>Gravitationskonstanten</t>
  </si>
  <si>
    <r>
      <t>h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</si>
  <si>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sz val="11"/>
        <color theme="1"/>
        <rFont val="Calibri"/>
        <family val="2"/>
        <scheme val="minor"/>
      </rPr>
      <t xml:space="preserve"> =</t>
    </r>
  </si>
  <si>
    <t>Bolzmanns konstant</t>
  </si>
  <si>
    <t>Coulombkonstanten</t>
  </si>
  <si>
    <t>Stefans konstant</t>
  </si>
  <si>
    <t>Rydbergs konstant</t>
  </si>
  <si>
    <t>Vacuumpermeabiliteten</t>
  </si>
  <si>
    <t>Vacuumpermittiviteten</t>
  </si>
  <si>
    <t>Finstrukturkonstanten</t>
  </si>
  <si>
    <t>Gaskonstanten</t>
  </si>
  <si>
    <r>
      <t>k</t>
    </r>
    <r>
      <rPr>
        <vertAlign val="subscript"/>
        <sz val="10"/>
        <rFont val="Arial"/>
        <family val="2"/>
      </rPr>
      <t>B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</si>
  <si>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0"/>
        <rFont val="Arial"/>
        <family val="2"/>
      </rPr>
      <t>C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</si>
  <si>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</si>
  <si>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Symbol"/>
        <family val="1"/>
        <charset val="2"/>
      </rPr>
      <t>0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</si>
  <si>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Symbol"/>
        <family val="1"/>
        <charset val="2"/>
      </rPr>
      <t>0</t>
    </r>
    <r>
      <rPr>
        <sz val="11"/>
        <color theme="1"/>
        <rFont val="Calibri"/>
        <family val="2"/>
        <scheme val="minor"/>
      </rPr>
      <t xml:space="preserve"> =</t>
    </r>
  </si>
  <si>
    <r>
      <t>R</t>
    </r>
    <r>
      <rPr>
        <vertAlign val="subscript"/>
        <sz val="10"/>
        <rFont val="Calibri"/>
        <family val="2"/>
      </rPr>
      <t>∞</t>
    </r>
    <r>
      <rPr>
        <sz val="11"/>
        <color theme="1"/>
        <rFont val="Calibri"/>
        <family val="2"/>
        <scheme val="minor"/>
      </rPr>
      <t xml:space="preserve"> =</t>
    </r>
  </si>
  <si>
    <r>
      <t>R</t>
    </r>
    <r>
      <rPr>
        <vertAlign val="subscript"/>
        <sz val="10"/>
        <rFont val="Calibri"/>
        <family val="2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</si>
  <si>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sz val="11"/>
        <color theme="1"/>
        <rFont val="Calibri"/>
        <family val="2"/>
        <scheme val="minor"/>
      </rPr>
      <t xml:space="preserve"> =</t>
    </r>
  </si>
  <si>
    <r>
      <t>R</t>
    </r>
    <r>
      <rPr>
        <sz val="11"/>
        <color theme="1"/>
        <rFont val="Calibri"/>
        <family val="2"/>
        <scheme val="minor"/>
      </rPr>
      <t xml:space="preserve"> =</t>
    </r>
  </si>
  <si>
    <t>Døgnets længde</t>
  </si>
  <si>
    <t>Årets længde (tropisk)</t>
  </si>
  <si>
    <t>Astronomisk enhed</t>
  </si>
  <si>
    <t>Lysår</t>
  </si>
  <si>
    <t>Parsec</t>
  </si>
  <si>
    <t>Hubble-konstant</t>
  </si>
  <si>
    <t>Megaparsec</t>
  </si>
  <si>
    <t xml:space="preserve">1 la = </t>
  </si>
  <si>
    <t xml:space="preserve">1 a = </t>
  </si>
  <si>
    <t xml:space="preserve">1 Mpc = </t>
  </si>
  <si>
    <t xml:space="preserve">1 pc = </t>
  </si>
  <si>
    <r>
      <rPr>
        <i/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</si>
  <si>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t>Solens radius</t>
  </si>
  <si>
    <t>Jordens polradius</t>
  </si>
  <si>
    <t>Jordens middelradius</t>
  </si>
  <si>
    <t>Månens radius</t>
  </si>
  <si>
    <t>Månens middelafstand</t>
  </si>
  <si>
    <r>
      <t>J</t>
    </r>
    <r>
      <rPr>
        <sz val="11"/>
        <color theme="1"/>
        <rFont val="Calibri"/>
        <family val="2"/>
      </rPr>
      <t>∙s</t>
    </r>
  </si>
  <si>
    <r>
      <t>eV</t>
    </r>
    <r>
      <rPr>
        <sz val="11"/>
        <color theme="1"/>
        <rFont val="Calibri"/>
        <family val="2"/>
      </rPr>
      <t>∙s</t>
    </r>
  </si>
  <si>
    <t>Avogadros konstant</t>
  </si>
  <si>
    <r>
      <t>N</t>
    </r>
    <r>
      <rPr>
        <vertAlign val="subscript"/>
        <sz val="10"/>
        <rFont val="Arial"/>
        <family val="2"/>
      </rPr>
      <t>A</t>
    </r>
    <r>
      <rPr>
        <sz val="11"/>
        <color theme="1"/>
        <rFont val="Calibri"/>
        <family val="2"/>
        <scheme val="minor"/>
      </rPr>
      <t xml:space="preserve"> =</t>
    </r>
  </si>
  <si>
    <t>Wiens konstant</t>
  </si>
  <si>
    <t>b =</t>
  </si>
  <si>
    <t>Atmosfære</t>
  </si>
  <si>
    <t>Bar</t>
  </si>
  <si>
    <t xml:space="preserve">1 atm = </t>
  </si>
  <si>
    <t xml:space="preserve">1 bar = </t>
  </si>
  <si>
    <t>Pa</t>
  </si>
  <si>
    <t>nm til eV</t>
  </si>
  <si>
    <r>
      <t>eV</t>
    </r>
    <r>
      <rPr>
        <sz val="11"/>
        <color theme="1"/>
        <rFont val="Calibri"/>
        <family val="2"/>
      </rPr>
      <t>∙nm</t>
    </r>
  </si>
  <si>
    <r>
      <t>m</t>
    </r>
    <r>
      <rPr>
        <vertAlign val="superscript"/>
        <sz val="11"/>
        <color theme="1"/>
        <rFont val="Calibri"/>
        <family val="2"/>
      </rPr>
      <t>−</t>
    </r>
    <r>
      <rPr>
        <vertAlign val="superscript"/>
        <sz val="11"/>
        <color theme="1"/>
        <rFont val="Calibri"/>
        <family val="2"/>
        <scheme val="minor"/>
      </rPr>
      <t>1</t>
    </r>
  </si>
  <si>
    <t>s</t>
  </si>
  <si>
    <t>m</t>
  </si>
  <si>
    <t>km/s/Mpc</t>
  </si>
  <si>
    <r>
      <t>s</t>
    </r>
    <r>
      <rPr>
        <vertAlign val="superscript"/>
        <sz val="11"/>
        <color theme="1"/>
        <rFont val="Calibri"/>
        <family val="2"/>
      </rPr>
      <t>−</t>
    </r>
    <r>
      <rPr>
        <vertAlign val="superscript"/>
        <sz val="11"/>
        <color theme="1"/>
        <rFont val="Calibri"/>
        <family val="2"/>
        <scheme val="minor"/>
      </rPr>
      <t>1</t>
    </r>
  </si>
  <si>
    <r>
      <t>mol</t>
    </r>
    <r>
      <rPr>
        <vertAlign val="superscript"/>
        <sz val="11"/>
        <color theme="1"/>
        <rFont val="Calibri"/>
        <family val="2"/>
      </rPr>
      <t>−1</t>
    </r>
  </si>
  <si>
    <t>J/K</t>
  </si>
  <si>
    <r>
      <t>N</t>
    </r>
    <r>
      <rPr>
        <sz val="11"/>
        <color theme="1"/>
        <rFont val="Calibri"/>
        <family val="2"/>
      </rPr>
      <t>∙m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/kg</t>
    </r>
    <r>
      <rPr>
        <vertAlign val="superscript"/>
        <sz val="11"/>
        <color theme="1"/>
        <rFont val="Calibri"/>
        <family val="2"/>
      </rPr>
      <t>2</t>
    </r>
  </si>
  <si>
    <r>
      <t>N</t>
    </r>
    <r>
      <rPr>
        <sz val="11"/>
        <color theme="1"/>
        <rFont val="Calibri"/>
        <family val="2"/>
      </rPr>
      <t>∙m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/C</t>
    </r>
    <r>
      <rPr>
        <vertAlign val="superscript"/>
        <sz val="11"/>
        <color theme="1"/>
        <rFont val="Calibri"/>
        <family val="2"/>
      </rPr>
      <t>2</t>
    </r>
  </si>
  <si>
    <r>
      <t>W/(m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>∙K</t>
    </r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)</t>
    </r>
  </si>
  <si>
    <t>H/m</t>
  </si>
  <si>
    <t>F/m</t>
  </si>
  <si>
    <r>
      <t>J/(mol</t>
    </r>
    <r>
      <rPr>
        <sz val="11"/>
        <color theme="1"/>
        <rFont val="Calibri"/>
        <family val="2"/>
      </rPr>
      <t>∙K)</t>
    </r>
  </si>
  <si>
    <r>
      <t>m</t>
    </r>
    <r>
      <rPr>
        <sz val="11"/>
        <color theme="1"/>
        <rFont val="Calibri"/>
        <family val="2"/>
      </rPr>
      <t>∙K</t>
    </r>
  </si>
  <si>
    <t>(Reciprok)</t>
  </si>
  <si>
    <t>d</t>
  </si>
  <si>
    <t>pc</t>
  </si>
  <si>
    <t xml:space="preserve">1 d = </t>
  </si>
  <si>
    <t>la</t>
  </si>
  <si>
    <t>Ga</t>
  </si>
  <si>
    <t>Solens lysstyrke</t>
  </si>
  <si>
    <t>W</t>
  </si>
  <si>
    <t>km</t>
  </si>
  <si>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☉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</si>
  <si>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♁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</si>
  <si>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☾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</si>
  <si>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☉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</si>
  <si>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☉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</si>
  <si>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</si>
  <si>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</si>
  <si>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♁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</si>
  <si>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☾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</si>
  <si>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☾</t>
    </r>
    <r>
      <rPr>
        <sz val="11"/>
        <color theme="1"/>
        <rFont val="Calibri"/>
        <family val="2"/>
        <scheme val="minor"/>
      </rPr>
      <t xml:space="preserve"> = </t>
    </r>
  </si>
  <si>
    <t>km/s</t>
  </si>
  <si>
    <t>A,B,C</t>
  </si>
  <si>
    <t>Niveau</t>
  </si>
  <si>
    <t>A</t>
  </si>
  <si>
    <t>A,B</t>
  </si>
  <si>
    <t>kg/m3</t>
  </si>
  <si>
    <t>Msol/Mpc3</t>
  </si>
  <si>
    <t>Astronomiske konstanter</t>
  </si>
  <si>
    <t>Fysiske konstanter</t>
  </si>
  <si>
    <t>Usikkerhed</t>
  </si>
  <si>
    <t>Kosmiske baggrundsstråling</t>
  </si>
  <si>
    <t>Neutrinotemperatur</t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</si>
  <si>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</si>
  <si>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= </t>
    </r>
  </si>
  <si>
    <t>Tæthedsparametre</t>
  </si>
  <si>
    <t>Baryonisk stof</t>
  </si>
  <si>
    <t>Lambdanit</t>
  </si>
  <si>
    <t>Sum af alle</t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</si>
  <si>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</si>
  <si>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t>Tidspunkter</t>
  </si>
  <si>
    <t>Planck-tiden</t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</si>
  <si>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Planck</t>
    </r>
    <r>
      <rPr>
        <sz val="11"/>
        <color theme="1"/>
        <rFont val="Calibri"/>
        <family val="2"/>
        <scheme val="minor"/>
      </rPr>
      <t xml:space="preserve"> = </t>
    </r>
  </si>
  <si>
    <t>Kernesyntese</t>
  </si>
  <si>
    <t>Afkobling stof/stråling</t>
  </si>
  <si>
    <t>ka</t>
  </si>
  <si>
    <t>min</t>
  </si>
  <si>
    <t>Reionisering</t>
  </si>
  <si>
    <t>Ma</t>
  </si>
  <si>
    <r>
      <t xml:space="preserve">Rødforskydning </t>
    </r>
    <r>
      <rPr>
        <b/>
        <i/>
        <sz val="11"/>
        <color theme="1"/>
        <rFont val="Calibri"/>
        <family val="2"/>
        <scheme val="minor"/>
      </rPr>
      <t>z</t>
    </r>
  </si>
  <si>
    <t>Tætheder</t>
  </si>
  <si>
    <t>Baryoner</t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</si>
  <si>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kritisk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</si>
  <si>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</si>
  <si>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</si>
  <si>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nukleoner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</si>
  <si>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str,stof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</si>
  <si>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</si>
  <si>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stof,</t>
    </r>
    <r>
      <rPr>
        <vertAlign val="subscript"/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</si>
  <si>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reion.</t>
    </r>
    <r>
      <rPr>
        <sz val="11"/>
        <color theme="1"/>
        <rFont val="Calibri"/>
        <family val="2"/>
        <scheme val="minor"/>
      </rPr>
      <t xml:space="preserve"> = </t>
    </r>
  </si>
  <si>
    <t>Baryon-foton forhold</t>
  </si>
  <si>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  <scheme val="minor"/>
      </rPr>
      <t xml:space="preserve"> = </t>
    </r>
  </si>
  <si>
    <t>Fotoner fra baggrundsstrålingen</t>
  </si>
  <si>
    <t>Reduceret Planck-konstant</t>
  </si>
  <si>
    <r>
      <t>m</t>
    </r>
    <r>
      <rPr>
        <vertAlign val="superscript"/>
        <sz val="11"/>
        <color theme="1"/>
        <rFont val="Calibri"/>
        <family val="2"/>
      </rPr>
      <t>−3</t>
    </r>
  </si>
  <si>
    <r>
      <t>kg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</rPr>
      <t>−3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</si>
  <si>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afkobling</t>
    </r>
    <r>
      <rPr>
        <sz val="11"/>
        <color theme="1"/>
        <rFont val="Calibri"/>
        <family val="2"/>
        <scheme val="minor"/>
      </rPr>
      <t xml:space="preserve"> = </t>
    </r>
  </si>
  <si>
    <t>Baggrundsneutrinoer</t>
  </si>
  <si>
    <t>Baggrundsstråling, CMB</t>
  </si>
  <si>
    <t>Ikke-baryonisk møkt stof</t>
  </si>
  <si>
    <t>Stof i alt</t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</si>
  <si>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</si>
  <si>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</si>
  <si>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stof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</si>
  <si>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 </t>
    </r>
  </si>
  <si>
    <t>a</t>
  </si>
  <si>
    <t>Kosmologiske parametre</t>
  </si>
  <si>
    <t>Konstanter og data relevante inden for kosmologi</t>
  </si>
  <si>
    <t>MeV/K</t>
  </si>
  <si>
    <t>K</t>
  </si>
  <si>
    <t>Bindingsentalpi C-H</t>
  </si>
  <si>
    <t>J/binding</t>
  </si>
  <si>
    <t>nm</t>
  </si>
  <si>
    <r>
      <rPr>
        <sz val="10"/>
        <rFont val="Symbol"/>
        <family val="1"/>
        <charset val="2"/>
      </rPr>
      <t>D</t>
    </r>
    <r>
      <rPr>
        <i/>
        <sz val="10"/>
        <rFont val="Arial"/>
        <family val="2"/>
      </rPr>
      <t>H</t>
    </r>
    <r>
      <rPr>
        <vertAlign val="subscript"/>
        <sz val="10"/>
        <rFont val="Arial"/>
        <family val="2"/>
      </rPr>
      <t>bind</t>
    </r>
    <r>
      <rPr>
        <sz val="10"/>
        <rFont val="Arial"/>
        <family val="2"/>
      </rPr>
      <t xml:space="preserve"> =</t>
    </r>
  </si>
  <si>
    <t>kJ/mol</t>
  </si>
  <si>
    <t>Bindingsentalpi O=O</t>
  </si>
  <si>
    <t>Tilhørende bølgelængde</t>
  </si>
  <si>
    <r>
      <rPr>
        <sz val="10"/>
        <rFont val="Symbol"/>
        <family val="1"/>
        <charset val="2"/>
      </rPr>
      <t>l</t>
    </r>
    <r>
      <rPr>
        <vertAlign val="subscript"/>
        <sz val="10"/>
        <rFont val="Arial"/>
        <family val="2"/>
      </rPr>
      <t>nedbryd</t>
    </r>
    <r>
      <rPr>
        <sz val="10"/>
        <rFont val="Arial"/>
        <family val="2"/>
      </rPr>
      <t xml:space="preserve"> =</t>
    </r>
  </si>
  <si>
    <t>Fotontemperatur (Fixsen, 2009)</t>
  </si>
  <si>
    <t>Jævnbyrdighed stråling/stof</t>
  </si>
  <si>
    <t>Jævnbyrdighed stof/lambdanit</t>
  </si>
  <si>
    <r>
      <t>km</t>
    </r>
    <r>
      <rPr>
        <vertAlign val="superscript"/>
        <sz val="11"/>
        <color theme="1"/>
        <rFont val="Calibri"/>
        <family val="2"/>
      </rPr>
      <t>−3</t>
    </r>
  </si>
  <si>
    <t>Volumen pr. partikel</t>
  </si>
  <si>
    <r>
      <t>m</t>
    </r>
    <r>
      <rPr>
        <vertAlign val="superscript"/>
        <sz val="11"/>
        <color theme="1"/>
        <rFont val="Calibri"/>
        <family val="2"/>
      </rPr>
      <t>3</t>
    </r>
  </si>
  <si>
    <r>
      <t>km</t>
    </r>
    <r>
      <rPr>
        <vertAlign val="superscript"/>
        <sz val="11"/>
        <color theme="1"/>
        <rFont val="Calibri"/>
        <family val="2"/>
      </rPr>
      <t>3</t>
    </r>
  </si>
  <si>
    <t>Jordens ækvatorradius</t>
  </si>
  <si>
    <r>
      <t>E</t>
    </r>
    <r>
      <rPr>
        <vertAlign val="subscript"/>
        <sz val="10"/>
        <rFont val="Arial"/>
        <family val="2"/>
      </rPr>
      <t>H</t>
    </r>
    <r>
      <rPr>
        <sz val="11"/>
        <color theme="1"/>
        <rFont val="Calibri"/>
        <family val="2"/>
        <scheme val="minor"/>
      </rPr>
      <t xml:space="preserve"> =</t>
    </r>
  </si>
  <si>
    <t>Grundtilstand i hydrogen</t>
  </si>
  <si>
    <t>Reduceret elektronmasse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</si>
  <si>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 =</t>
    </r>
  </si>
  <si>
    <t>Sort hul med solmasse</t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</si>
  <si>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</si>
  <si>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Kritisk tæthed, </t>
    </r>
    <r>
      <rPr>
        <i/>
        <sz val="11"/>
        <color theme="1"/>
        <rFont val="Calibri"/>
        <family val="2"/>
        <scheme val="minor"/>
      </rPr>
      <t>Planck</t>
    </r>
    <r>
      <rPr>
        <sz val="11"/>
        <color theme="1"/>
        <rFont val="Calibri"/>
        <family val="2"/>
        <scheme val="minor"/>
      </rPr>
      <t xml:space="preserve"> data</t>
    </r>
  </si>
  <si>
    <t>Schwarzschild-radius for Solen</t>
  </si>
  <si>
    <r>
      <rPr>
        <i/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Sch,☉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</si>
  <si>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GM</t>
    </r>
    <r>
      <rPr>
        <vertAlign val="subscript"/>
        <sz val="11"/>
        <color theme="1"/>
        <rFont val="Calibri"/>
        <family val="2"/>
        <scheme val="minor"/>
      </rPr>
      <t>♁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</si>
  <si>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Calibri"/>
        <family val="2"/>
        <scheme val="minor"/>
      </rPr>
      <t>GM</t>
    </r>
    <r>
      <rPr>
        <vertAlign val="subscript"/>
        <sz val="11"/>
        <color theme="1"/>
        <rFont val="Calibri"/>
        <family val="2"/>
        <scheme val="minor"/>
      </rPr>
      <t>☉</t>
    </r>
    <r>
      <rPr>
        <sz val="11"/>
        <color theme="1"/>
        <rFont val="Calibri"/>
        <family val="2"/>
        <scheme val="minor"/>
      </rPr>
      <t xml:space="preserve"> = </t>
    </r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</si>
  <si>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-2</t>
    </r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</si>
  <si>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</si>
  <si>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</si>
  <si>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 = 4*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/c</t>
    </r>
  </si>
  <si>
    <t>Årets længde (astronomisk)</t>
  </si>
  <si>
    <r>
      <t>1 a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</si>
  <si>
    <t>Årets længde (siderisk)</t>
  </si>
  <si>
    <t>Årets længde (anomalistisk)</t>
  </si>
  <si>
    <t>Årets længde (drakonitisk)</t>
  </si>
  <si>
    <r>
      <t>1 a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</si>
  <si>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r>
      <t>1 a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</t>
    </r>
  </si>
  <si>
    <r>
      <t>1 a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</t>
    </r>
  </si>
  <si>
    <t>Hubble-tid</t>
  </si>
  <si>
    <t>Hubble-afstand</t>
  </si>
  <si>
    <t>Gpc</t>
  </si>
  <si>
    <t>Gigaparsec</t>
  </si>
  <si>
    <t xml:space="preserve">1 Gpc = </t>
  </si>
  <si>
    <t>Kiloparsec</t>
  </si>
  <si>
    <t xml:space="preserve">1 kpc = </t>
  </si>
  <si>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</si>
  <si>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 1/</t>
    </r>
    <r>
      <rPr>
        <i/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</si>
  <si>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t>Gla</t>
  </si>
  <si>
    <t>p_c</t>
  </si>
  <si>
    <t>p_e</t>
  </si>
  <si>
    <t>p_h</t>
  </si>
  <si>
    <t>p_G</t>
  </si>
  <si>
    <t>p_NA</t>
  </si>
  <si>
    <t>p_kB</t>
  </si>
  <si>
    <t>p_kC</t>
  </si>
  <si>
    <t>p_Stefan</t>
  </si>
  <si>
    <t>p_RadDens</t>
  </si>
  <si>
    <t>p_Rydberg</t>
  </si>
  <si>
    <t>p_R</t>
  </si>
  <si>
    <t>p_Wien</t>
  </si>
  <si>
    <t>p_u</t>
  </si>
  <si>
    <t>p_mp</t>
  </si>
  <si>
    <t>p_mn</t>
  </si>
  <si>
    <t>p_me</t>
  </si>
  <si>
    <t>p_cc</t>
  </si>
  <si>
    <t>Cellenavn</t>
  </si>
  <si>
    <t>a_d</t>
  </si>
  <si>
    <t>a_a</t>
  </si>
  <si>
    <t>a_aTrop</t>
  </si>
  <si>
    <t>a_aSid</t>
  </si>
  <si>
    <t>a_aDrak</t>
  </si>
  <si>
    <t>a_aAnom</t>
  </si>
  <si>
    <t>a_ae</t>
  </si>
  <si>
    <t>a_la</t>
  </si>
  <si>
    <t>a_pc</t>
  </si>
  <si>
    <t>a_H0</t>
  </si>
  <si>
    <t>a_tHubble</t>
  </si>
  <si>
    <t>a_dHubble</t>
  </si>
  <si>
    <t>ae</t>
  </si>
  <si>
    <t xml:space="preserve">1 ae = </t>
  </si>
  <si>
    <t>a_kpc</t>
  </si>
  <si>
    <t>a_Mpc</t>
  </si>
  <si>
    <t>a_Gpc</t>
  </si>
  <si>
    <t>p_My0</t>
  </si>
  <si>
    <t>p_Epsilon0</t>
  </si>
  <si>
    <t>p_meRed</t>
  </si>
  <si>
    <t>p_Ehydrogen</t>
  </si>
  <si>
    <t>http://en.wikipedia.org/wiki/Standard_gravitational_parameter</t>
  </si>
  <si>
    <t>Gravitationsparametre og masser</t>
  </si>
  <si>
    <t>Gravitationsparameter</t>
  </si>
  <si>
    <t>Kilde:</t>
  </si>
  <si>
    <t>Masse</t>
  </si>
  <si>
    <t>Solen</t>
  </si>
  <si>
    <t>Merkur</t>
  </si>
  <si>
    <t>Venus</t>
  </si>
  <si>
    <t>Jorden</t>
  </si>
  <si>
    <t>Månen</t>
  </si>
  <si>
    <t>Mars</t>
  </si>
  <si>
    <t>Jupiter</t>
  </si>
  <si>
    <t>Uranus</t>
  </si>
  <si>
    <t>Neptun</t>
  </si>
  <si>
    <t>Saturn</t>
  </si>
  <si>
    <r>
      <rPr>
        <i/>
        <sz val="11"/>
        <color theme="1"/>
        <rFont val="Calibri"/>
        <family val="2"/>
        <scheme val="minor"/>
      </rPr>
      <t>GM</t>
    </r>
    <r>
      <rPr>
        <vertAlign val="subscript"/>
        <sz val="11"/>
        <color theme="1"/>
        <rFont val="Calibri"/>
        <family val="2"/>
        <scheme val="minor"/>
      </rPr>
      <t>☾</t>
    </r>
    <r>
      <rPr>
        <sz val="11"/>
        <color theme="1"/>
        <rFont val="Calibri"/>
        <family val="2"/>
        <scheme val="minor"/>
      </rPr>
      <t xml:space="preserve"> = </t>
    </r>
  </si>
  <si>
    <t>a_Msun</t>
  </si>
  <si>
    <t>a_GMSun</t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</si>
  <si>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dm</t>
    </r>
    <r>
      <rPr>
        <sz val="11"/>
        <color theme="1"/>
        <rFont val="Calibri"/>
        <family val="2"/>
        <scheme val="minor"/>
      </rPr>
      <t xml:space="preserve"> = </t>
    </r>
  </si>
  <si>
    <t xml:space="preserve">ℏ = </t>
  </si>
  <si>
    <t>Primordialt heliumindhold</t>
  </si>
  <si>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p = </t>
    </r>
  </si>
  <si>
    <t>Observationer</t>
  </si>
  <si>
    <t>Konkordansmodel</t>
  </si>
  <si>
    <t>Reduceret Hubble-konstant</t>
  </si>
  <si>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 </t>
    </r>
  </si>
  <si>
    <t>mK</t>
  </si>
  <si>
    <t>Dipolled, galaktisk længde</t>
  </si>
  <si>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 </t>
    </r>
  </si>
  <si>
    <t>°</t>
  </si>
  <si>
    <t>Krumningstæthed</t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</si>
  <si>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= </t>
    </r>
  </si>
  <si>
    <t>Tilstandsparameter</t>
  </si>
  <si>
    <r>
      <rPr>
        <i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 </t>
    </r>
  </si>
  <si>
    <t>Universts alder</t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</si>
  <si>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</si>
  <si>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t>Baggrundsstråling</t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</si>
  <si>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str</t>
    </r>
    <r>
      <rPr>
        <sz val="11"/>
        <color theme="1"/>
        <rFont val="Calibri"/>
        <family val="2"/>
        <scheme val="minor"/>
      </rPr>
      <t xml:space="preserve"> = </t>
    </r>
  </si>
  <si>
    <t>Dipolled, amplitude</t>
  </si>
  <si>
    <t>Dipolled, galaktisk bredde</t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</si>
  <si>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</si>
  <si>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K</t>
    </r>
  </si>
  <si>
    <t>Amplitude i B-modi polarisering</t>
  </si>
  <si>
    <t>Amplitude i øvrige fluktuationer</t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</si>
  <si>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Arial"/>
        <family val="2"/>
      </rPr>
      <t>multipol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</si>
  <si>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Arial"/>
        <family val="2"/>
      </rPr>
      <t>dipol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</si>
  <si>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Arial"/>
        <family val="2"/>
      </rPr>
      <t>B-modi</t>
    </r>
    <r>
      <rPr>
        <sz val="11"/>
        <color theme="1"/>
        <rFont val="Calibri"/>
        <family val="2"/>
        <scheme val="minor"/>
      </rPr>
      <t xml:space="preserve"> = </t>
    </r>
  </si>
  <si>
    <t>Målt værdi</t>
  </si>
  <si>
    <t>Forventet værdi</t>
  </si>
  <si>
    <t>Månens omløbstid (siderisk)</t>
  </si>
  <si>
    <t>Månens omløbstid (synodisk)</t>
  </si>
  <si>
    <r>
      <t>Planck</t>
    </r>
    <r>
      <rPr>
        <sz val="11"/>
        <color theme="1"/>
        <rFont val="Calibri"/>
        <family val="2"/>
        <scheme val="minor"/>
      </rPr>
      <t xml:space="preserve"> og andre kilder, 2015:</t>
    </r>
  </si>
  <si>
    <t>HN, 2015-07-12</t>
  </si>
  <si>
    <r>
      <t xml:space="preserve">Data er markeret med </t>
    </r>
    <r>
      <rPr>
        <b/>
        <sz val="11"/>
        <color rgb="FF00B050"/>
        <rFont val="Calibri"/>
        <family val="2"/>
        <scheme val="minor"/>
      </rPr>
      <t>grøn</t>
    </r>
    <r>
      <rPr>
        <sz val="11"/>
        <color theme="1"/>
        <rFont val="Calibri"/>
        <family val="2"/>
        <scheme val="minor"/>
      </rPr>
      <t xml:space="preserve"> skrift.</t>
    </r>
  </si>
  <si>
    <r>
      <t xml:space="preserve">Beregnede størrelser er markeret med </t>
    </r>
    <r>
      <rPr>
        <b/>
        <sz val="11"/>
        <color rgb="FFFF0000"/>
        <rFont val="Calibri"/>
        <family val="2"/>
        <scheme val="minor"/>
      </rPr>
      <t>rød</t>
    </r>
    <r>
      <rPr>
        <sz val="11"/>
        <color theme="1"/>
        <rFont val="Calibri"/>
        <family val="2"/>
        <scheme val="minor"/>
      </rPr>
      <t xml:space="preserve"> skrift.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</si>
  <si>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bary</t>
    </r>
    <r>
      <rPr>
        <sz val="11"/>
        <color theme="1"/>
        <rFont val="Calibri"/>
        <family val="2"/>
        <scheme val="minor"/>
      </rPr>
      <t xml:space="preserve"> *</t>
    </r>
    <r>
      <rPr>
        <i/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= 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</si>
  <si>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bary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= 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</si>
  <si>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dm</t>
    </r>
    <r>
      <rPr>
        <sz val="11"/>
        <color theme="1"/>
        <rFont val="Calibri"/>
        <family val="2"/>
        <scheme val="minor"/>
      </rPr>
      <t xml:space="preserve"> * </t>
    </r>
    <r>
      <rPr>
        <i/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</si>
  <si>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t>I dag</t>
  </si>
  <si>
    <t>Strålingstæthedskonstant</t>
  </si>
  <si>
    <r>
      <t>J/(m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</rPr>
      <t>∙K</t>
    </r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)</t>
    </r>
  </si>
  <si>
    <t>Antalstæthedskonstant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</si>
  <si>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 =</t>
    </r>
  </si>
  <si>
    <t>p_NumDens</t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</si>
  <si>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-3 </t>
    </r>
    <r>
      <rPr>
        <sz val="11"/>
        <color theme="1"/>
        <rFont val="Calibri"/>
        <family val="2"/>
        <scheme val="minor"/>
      </rPr>
      <t>K</t>
    </r>
    <r>
      <rPr>
        <vertAlign val="superscript"/>
        <sz val="11"/>
        <color theme="1"/>
        <rFont val="Calibri"/>
        <family val="2"/>
        <scheme val="minor"/>
      </rPr>
      <t>-3</t>
    </r>
  </si>
  <si>
    <t>Yderligere ark kan indsættes ved at klikke på ikonet til højre for dette ark eller taste Shift-F11.</t>
  </si>
  <si>
    <t>På dette ark kan man løse beregningsopgaver og udnytte samlingen af konstanter på de forrige ark.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</si>
</sst>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0000000E+00"/>
    <numFmt numFmtId="165" formatCode="0.00000000"/>
    <numFmt numFmtId="166" formatCode="0.0000000E+00"/>
    <numFmt numFmtId="167" formatCode="0.000000"/>
    <numFmt numFmtId="168" formatCode="0.000000E+00"/>
    <numFmt numFmtId="169" formatCode="0E+00"/>
    <numFmt numFmtId="170" formatCode="0.0000"/>
    <numFmt numFmtId="171" formatCode="0.000"/>
    <numFmt numFmtId="172" formatCode="0.0"/>
    <numFmt numFmtId="173" formatCode="0.0000E+00"/>
    <numFmt numFmtId="174" formatCode="0.00000E+00"/>
    <numFmt numFmtId="175" formatCode="0.000E+00"/>
    <numFmt numFmtId="176" formatCode="0.0E+00"/>
    <numFmt numFmtId="177" formatCode="0.0000000"/>
    <numFmt numFmtId="178" formatCode="0.000000000000000000"/>
    <numFmt numFmtId="179" formatCode="0.000000000E+00"/>
    <numFmt numFmtId="180" formatCode="0.00000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vertAlign val="subscript"/>
      <sz val="11"/>
      <color theme="1"/>
      <name val="Symbol"/>
      <family val="1"/>
      <charset val="2"/>
    </font>
    <font>
      <vertAlign val="subscript"/>
      <sz val="10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Symbol"/>
      <family val="1"/>
      <charset val="2"/>
    </font>
    <font>
      <b/>
      <sz val="11"/>
      <color theme="4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vertAlign val="subscript"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F9A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0" fillId="5" borderId="0" xfId="0" applyFill="1"/>
    <xf numFmtId="0" fontId="0" fillId="6" borderId="0" xfId="0" applyFill="1"/>
    <xf numFmtId="164" fontId="5" fillId="5" borderId="0" xfId="0" applyNumberFormat="1" applyFont="1" applyFill="1"/>
    <xf numFmtId="0" fontId="2" fillId="6" borderId="0" xfId="0" applyFont="1" applyFill="1"/>
    <xf numFmtId="165" fontId="2" fillId="6" borderId="0" xfId="0" applyNumberFormat="1" applyFont="1" applyFill="1"/>
    <xf numFmtId="167" fontId="2" fillId="6" borderId="0" xfId="0" applyNumberFormat="1" applyFont="1" applyFill="1"/>
    <xf numFmtId="0" fontId="2" fillId="5" borderId="0" xfId="0" applyFont="1" applyFill="1"/>
    <xf numFmtId="169" fontId="0" fillId="6" borderId="0" xfId="0" applyNumberFormat="1" applyFill="1"/>
    <xf numFmtId="0" fontId="10" fillId="5" borderId="0" xfId="0" applyFont="1" applyFill="1"/>
    <xf numFmtId="164" fontId="11" fillId="5" borderId="0" xfId="0" applyNumberFormat="1" applyFont="1" applyFill="1"/>
    <xf numFmtId="164" fontId="12" fillId="5" borderId="0" xfId="0" applyNumberFormat="1" applyFont="1" applyFill="1"/>
    <xf numFmtId="0" fontId="13" fillId="0" borderId="0" xfId="0" applyFont="1"/>
    <xf numFmtId="0" fontId="14" fillId="0" borderId="0" xfId="0" applyFont="1"/>
    <xf numFmtId="0" fontId="1" fillId="0" borderId="0" xfId="0" applyFont="1"/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1" fillId="5" borderId="0" xfId="0" applyNumberFormat="1" applyFont="1" applyFill="1"/>
    <xf numFmtId="0" fontId="15" fillId="0" borderId="0" xfId="0" applyFont="1" applyAlignment="1">
      <alignment horizontal="right"/>
    </xf>
    <xf numFmtId="164" fontId="22" fillId="6" borderId="0" xfId="0" applyNumberFormat="1" applyFont="1" applyFill="1"/>
    <xf numFmtId="168" fontId="11" fillId="5" borderId="0" xfId="0" applyNumberFormat="1" applyFont="1" applyFill="1"/>
    <xf numFmtId="167" fontId="12" fillId="5" borderId="0" xfId="0" applyNumberFormat="1" applyFont="1" applyFill="1"/>
    <xf numFmtId="171" fontId="11" fillId="5" borderId="0" xfId="0" applyNumberFormat="1" applyFont="1" applyFill="1"/>
    <xf numFmtId="1" fontId="24" fillId="5" borderId="0" xfId="0" applyNumberFormat="1" applyFont="1" applyFill="1"/>
    <xf numFmtId="166" fontId="12" fillId="5" borderId="0" xfId="0" applyNumberFormat="1" applyFont="1" applyFill="1"/>
    <xf numFmtId="172" fontId="25" fillId="0" borderId="0" xfId="0" applyNumberFormat="1" applyFont="1"/>
    <xf numFmtId="166" fontId="11" fillId="5" borderId="0" xfId="0" applyNumberFormat="1" applyFont="1" applyFill="1"/>
    <xf numFmtId="171" fontId="22" fillId="6" borderId="0" xfId="0" applyNumberFormat="1" applyFont="1" applyFill="1"/>
    <xf numFmtId="0" fontId="25" fillId="0" borderId="0" xfId="0" applyFont="1"/>
    <xf numFmtId="0" fontId="26" fillId="0" borderId="0" xfId="0" applyFont="1"/>
    <xf numFmtId="0" fontId="22" fillId="0" borderId="0" xfId="0" applyFont="1"/>
    <xf numFmtId="174" fontId="22" fillId="0" borderId="0" xfId="0" applyNumberFormat="1" applyFont="1"/>
    <xf numFmtId="0" fontId="3" fillId="7" borderId="0" xfId="0" applyFont="1" applyFill="1" applyAlignment="1">
      <alignment horizontal="center"/>
    </xf>
    <xf numFmtId="170" fontId="22" fillId="0" borderId="0" xfId="0" applyNumberFormat="1" applyFont="1"/>
    <xf numFmtId="2" fontId="22" fillId="0" borderId="0" xfId="0" applyNumberFormat="1" applyFont="1"/>
    <xf numFmtId="175" fontId="26" fillId="0" borderId="0" xfId="0" applyNumberFormat="1" applyFont="1"/>
    <xf numFmtId="173" fontId="26" fillId="0" borderId="0" xfId="0" applyNumberFormat="1" applyFont="1"/>
    <xf numFmtId="171" fontId="26" fillId="0" borderId="0" xfId="0" applyNumberFormat="1" applyFont="1"/>
    <xf numFmtId="172" fontId="26" fillId="0" borderId="0" xfId="0" applyNumberFormat="1" applyFont="1"/>
    <xf numFmtId="171" fontId="22" fillId="0" borderId="0" xfId="0" applyNumberFormat="1" applyFont="1"/>
    <xf numFmtId="1" fontId="22" fillId="0" borderId="0" xfId="0" applyNumberFormat="1" applyFont="1"/>
    <xf numFmtId="0" fontId="22" fillId="6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22" fillId="0" borderId="0" xfId="0" applyNumberFormat="1" applyFont="1"/>
    <xf numFmtId="164" fontId="0" fillId="0" borderId="0" xfId="0" applyNumberFormat="1"/>
    <xf numFmtId="0" fontId="27" fillId="0" borderId="0" xfId="0" applyFont="1"/>
    <xf numFmtId="11" fontId="22" fillId="0" borderId="0" xfId="0" applyNumberFormat="1" applyFont="1"/>
    <xf numFmtId="11" fontId="0" fillId="0" borderId="0" xfId="0" applyNumberFormat="1"/>
    <xf numFmtId="172" fontId="0" fillId="0" borderId="0" xfId="0" applyNumberFormat="1"/>
    <xf numFmtId="175" fontId="0" fillId="0" borderId="0" xfId="0" applyNumberFormat="1"/>
    <xf numFmtId="171" fontId="0" fillId="0" borderId="0" xfId="0" applyNumberFormat="1"/>
    <xf numFmtId="175" fontId="0" fillId="5" borderId="0" xfId="0" applyNumberFormat="1" applyFill="1"/>
    <xf numFmtId="172" fontId="0" fillId="6" borderId="0" xfId="0" applyNumberFormat="1" applyFill="1"/>
    <xf numFmtId="0" fontId="30" fillId="0" borderId="0" xfId="0" applyFont="1"/>
    <xf numFmtId="1" fontId="30" fillId="0" borderId="0" xfId="0" applyNumberFormat="1" applyFont="1"/>
    <xf numFmtId="173" fontId="11" fillId="5" borderId="0" xfId="0" applyNumberFormat="1" applyFont="1" applyFill="1"/>
    <xf numFmtId="0" fontId="3" fillId="0" borderId="0" xfId="0" applyFont="1"/>
    <xf numFmtId="2" fontId="26" fillId="0" borderId="0" xfId="0" applyNumberFormat="1" applyFont="1"/>
    <xf numFmtId="176" fontId="22" fillId="0" borderId="0" xfId="0" applyNumberFormat="1" applyFont="1"/>
    <xf numFmtId="176" fontId="26" fillId="0" borderId="0" xfId="0" applyNumberFormat="1" applyFont="1"/>
    <xf numFmtId="169" fontId="26" fillId="0" borderId="0" xfId="0" applyNumberFormat="1" applyFont="1"/>
    <xf numFmtId="169" fontId="22" fillId="0" borderId="0" xfId="0" applyNumberFormat="1" applyFont="1"/>
    <xf numFmtId="173" fontId="22" fillId="0" borderId="0" xfId="0" applyNumberFormat="1" applyFont="1"/>
    <xf numFmtId="173" fontId="12" fillId="5" borderId="0" xfId="0" applyNumberFormat="1" applyFont="1" applyFill="1"/>
    <xf numFmtId="175" fontId="22" fillId="0" borderId="0" xfId="0" applyNumberFormat="1" applyFont="1"/>
    <xf numFmtId="177" fontId="22" fillId="0" borderId="0" xfId="0" applyNumberFormat="1" applyFont="1"/>
    <xf numFmtId="2" fontId="0" fillId="0" borderId="0" xfId="0" applyNumberFormat="1"/>
    <xf numFmtId="178" fontId="0" fillId="0" borderId="0" xfId="0" applyNumberFormat="1"/>
    <xf numFmtId="2" fontId="0" fillId="6" borderId="0" xfId="0" applyNumberFormat="1" applyFill="1"/>
    <xf numFmtId="166" fontId="26" fillId="0" borderId="0" xfId="0" applyNumberFormat="1" applyFont="1"/>
    <xf numFmtId="166" fontId="22" fillId="0" borderId="0" xfId="0" applyNumberFormat="1" applyFont="1"/>
    <xf numFmtId="1" fontId="0" fillId="0" borderId="0" xfId="0" applyNumberFormat="1"/>
    <xf numFmtId="11" fontId="26" fillId="0" borderId="0" xfId="0" applyNumberFormat="1" applyFont="1"/>
    <xf numFmtId="166" fontId="0" fillId="0" borderId="0" xfId="0" applyNumberFormat="1"/>
    <xf numFmtId="168" fontId="26" fillId="0" borderId="0" xfId="0" applyNumberFormat="1" applyFont="1"/>
    <xf numFmtId="174" fontId="26" fillId="0" borderId="0" xfId="0" applyNumberFormat="1" applyFont="1"/>
    <xf numFmtId="164" fontId="26" fillId="0" borderId="0" xfId="0" applyNumberFormat="1" applyFont="1"/>
    <xf numFmtId="179" fontId="26" fillId="0" borderId="0" xfId="0" applyNumberFormat="1" applyFont="1"/>
    <xf numFmtId="0" fontId="32" fillId="0" borderId="0" xfId="1"/>
    <xf numFmtId="0" fontId="16" fillId="0" borderId="0" xfId="0" applyFont="1"/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right"/>
    </xf>
    <xf numFmtId="176" fontId="26" fillId="5" borderId="0" xfId="0" applyNumberFormat="1" applyFont="1" applyFill="1"/>
    <xf numFmtId="176" fontId="22" fillId="5" borderId="0" xfId="0" applyNumberFormat="1" applyFont="1" applyFill="1"/>
    <xf numFmtId="0" fontId="26" fillId="5" borderId="0" xfId="0" applyFont="1" applyFill="1"/>
    <xf numFmtId="0" fontId="22" fillId="5" borderId="0" xfId="0" applyFont="1" applyFill="1"/>
    <xf numFmtId="180" fontId="22" fillId="0" borderId="0" xfId="0" applyNumberFormat="1" applyFont="1"/>
    <xf numFmtId="0" fontId="0" fillId="0" borderId="0" xfId="0" applyFont="1"/>
    <xf numFmtId="0" fontId="3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3" fillId="8" borderId="0" xfId="0" applyFont="1" applyFill="1"/>
    <xf numFmtId="0" fontId="0" fillId="8" borderId="0" xfId="0" applyFill="1"/>
    <xf numFmtId="176" fontId="22" fillId="8" borderId="0" xfId="0" applyNumberFormat="1" applyFont="1" applyFill="1"/>
    <xf numFmtId="0" fontId="22" fillId="8" borderId="0" xfId="0" applyFont="1" applyFill="1"/>
    <xf numFmtId="180" fontId="0" fillId="0" borderId="0" xfId="0" applyNumberFormat="1"/>
    <xf numFmtId="170" fontId="22" fillId="5" borderId="0" xfId="0" applyNumberFormat="1" applyFont="1" applyFill="1"/>
    <xf numFmtId="180" fontId="22" fillId="5" borderId="0" xfId="0" applyNumberFormat="1" applyFont="1" applyFill="1"/>
    <xf numFmtId="180" fontId="26" fillId="5" borderId="0" xfId="0" applyNumberFormat="1" applyFont="1" applyFill="1"/>
    <xf numFmtId="170" fontId="26" fillId="5" borderId="0" xfId="0" applyNumberFormat="1" applyFont="1" applyFill="1"/>
    <xf numFmtId="174" fontId="11" fillId="5" borderId="0" xfId="0" applyNumberFormat="1" applyFont="1" applyFill="1"/>
    <xf numFmtId="176" fontId="0" fillId="0" borderId="0" xfId="0" applyNumberFormat="1"/>
    <xf numFmtId="1" fontId="22" fillId="8" borderId="0" xfId="0" applyNumberFormat="1" applyFont="1" applyFill="1"/>
  </cellXfs>
  <cellStyles count="2">
    <cellStyle name="Normal" xfId="0" builtinId="0"/>
    <cellStyle name="Titel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B10"/>
  <sheetViews>
    <sheetView topLeftCell="A10" zoomScale="210" zoomScaleNormal="210" workbookViewId="0">
      <selection activeCell="F4" sqref="F4"/>
    </sheetView>
  </sheetViews>
  <sheetFormatPr defaultRowHeight="15" x14ac:dyDescent="0.25"/>
  <sheetData>
    <row r="1" spans="2:2" ht="22.5" x14ac:dyDescent="0.3">
      <c r="B1" s="84" t="s">
        <v>181</v>
      </c>
    </row>
    <row r="2" spans="2:2" x14ac:dyDescent="0.25">
      <c r="B2" t="s">
        <v>324</v>
      </c>
    </row>
    <row r="6" spans="2:2" x14ac:dyDescent="0.25">
      <c r="B6" t="s">
        <v>133</v>
      </c>
    </row>
    <row r="8" spans="2:2" x14ac:dyDescent="0.25">
      <c r="B8" t="s">
        <v>132</v>
      </c>
    </row>
    <row r="10" spans="2:2" x14ac:dyDescent="0.25">
      <c r="B10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49"/>
  <sheetViews>
    <sheetView tabSelected="1" zoomScale="115" zoomScaleNormal="115" workbookViewId="0"/>
  </sheetViews>
  <sheetFormatPr defaultRowHeight="15" x14ac:dyDescent="0.25"/>
  <cols>
    <col min="1" max="1" width="7.7109375" bestFit="1" customWidth="1"/>
    <col min="2" max="2" width="24.140625" customWidth="1"/>
    <col min="3" max="3" width="8.42578125" bestFit="1" customWidth="1"/>
    <col min="4" max="4" width="15" bestFit="1" customWidth="1"/>
    <col min="5" max="5" width="10" bestFit="1" customWidth="1"/>
    <col min="6" max="6" width="15.42578125" bestFit="1" customWidth="1"/>
    <col min="7" max="7" width="10.140625" bestFit="1" customWidth="1"/>
    <col min="9" max="9" width="24.42578125" bestFit="1" customWidth="1"/>
    <col min="10" max="10" width="8" bestFit="1" customWidth="1"/>
    <col min="11" max="11" width="14.7109375" bestFit="1" customWidth="1"/>
    <col min="12" max="12" width="10" bestFit="1" customWidth="1"/>
    <col min="13" max="13" width="12" bestFit="1" customWidth="1"/>
    <col min="14" max="14" width="7" bestFit="1" customWidth="1"/>
    <col min="15" max="15" width="11.5703125" bestFit="1" customWidth="1"/>
    <col min="16" max="16" width="7" bestFit="1" customWidth="1"/>
  </cols>
  <sheetData>
    <row r="1" spans="1:13" ht="18.75" x14ac:dyDescent="0.3">
      <c r="B1" s="51" t="s">
        <v>133</v>
      </c>
    </row>
    <row r="2" spans="1:13" x14ac:dyDescent="0.25">
      <c r="B2" t="str">
        <f>Forside!B2</f>
        <v>HN, 2015-07-12</v>
      </c>
    </row>
    <row r="4" spans="1:13" x14ac:dyDescent="0.25">
      <c r="B4" s="18" t="s">
        <v>38</v>
      </c>
    </row>
    <row r="5" spans="1:13" x14ac:dyDescent="0.25">
      <c r="B5" s="19" t="s">
        <v>39</v>
      </c>
    </row>
    <row r="6" spans="1:13" x14ac:dyDescent="0.25">
      <c r="B6" s="17" t="s">
        <v>40</v>
      </c>
    </row>
    <row r="8" spans="1:13" x14ac:dyDescent="0.25">
      <c r="A8" s="47" t="s">
        <v>127</v>
      </c>
      <c r="B8" s="2" t="s">
        <v>0</v>
      </c>
      <c r="C8" s="2" t="s">
        <v>1</v>
      </c>
      <c r="D8" s="3" t="s">
        <v>2</v>
      </c>
      <c r="E8" s="3" t="s">
        <v>3</v>
      </c>
      <c r="F8" s="4" t="s">
        <v>2</v>
      </c>
      <c r="G8" s="4" t="s">
        <v>3</v>
      </c>
      <c r="I8" s="1" t="s">
        <v>250</v>
      </c>
    </row>
    <row r="9" spans="1:13" x14ac:dyDescent="0.25">
      <c r="A9" s="48" t="s">
        <v>126</v>
      </c>
      <c r="B9" t="s">
        <v>4</v>
      </c>
      <c r="C9" s="5" t="s">
        <v>5</v>
      </c>
      <c r="D9" s="14">
        <v>299792458</v>
      </c>
      <c r="E9" s="6" t="s">
        <v>6</v>
      </c>
      <c r="F9" s="46">
        <f>p_c/1000</f>
        <v>299792.45799999998</v>
      </c>
      <c r="G9" s="7" t="s">
        <v>125</v>
      </c>
      <c r="I9" t="s">
        <v>233</v>
      </c>
      <c r="M9" s="55"/>
    </row>
    <row r="10" spans="1:13" x14ac:dyDescent="0.25">
      <c r="A10" s="48" t="s">
        <v>126</v>
      </c>
      <c r="B10" t="s">
        <v>7</v>
      </c>
      <c r="C10" s="5" t="s">
        <v>8</v>
      </c>
      <c r="D10" s="16">
        <v>1.60217653E-19</v>
      </c>
      <c r="E10" s="6" t="s">
        <v>9</v>
      </c>
      <c r="F10" s="7"/>
      <c r="G10" s="7"/>
      <c r="I10" t="s">
        <v>234</v>
      </c>
      <c r="M10" s="56"/>
    </row>
    <row r="11" spans="1:13" x14ac:dyDescent="0.25">
      <c r="A11" s="48" t="s">
        <v>126</v>
      </c>
      <c r="B11" t="s">
        <v>41</v>
      </c>
      <c r="C11" s="5" t="s">
        <v>43</v>
      </c>
      <c r="D11" s="16">
        <v>6.6260693000000002E-34</v>
      </c>
      <c r="E11" s="6" t="s">
        <v>79</v>
      </c>
      <c r="F11" s="24">
        <f>p_h/p_e</f>
        <v>4.1356674348487676E-15</v>
      </c>
      <c r="G11" s="7" t="s">
        <v>80</v>
      </c>
      <c r="I11" t="s">
        <v>235</v>
      </c>
    </row>
    <row r="12" spans="1:13" x14ac:dyDescent="0.25">
      <c r="A12" s="48"/>
      <c r="B12" t="s">
        <v>167</v>
      </c>
      <c r="C12" s="23" t="s">
        <v>291</v>
      </c>
      <c r="D12" s="15">
        <f>p_h/2/PI()</f>
        <v>1.0545716823644548E-34</v>
      </c>
      <c r="E12" s="6" t="s">
        <v>79</v>
      </c>
      <c r="F12" s="24">
        <f>F11/2/PI()</f>
        <v>6.5821191524036035E-16</v>
      </c>
      <c r="G12" s="7" t="s">
        <v>80</v>
      </c>
      <c r="M12" s="55"/>
    </row>
    <row r="13" spans="1:13" ht="17.25" x14ac:dyDescent="0.25">
      <c r="A13" s="48" t="s">
        <v>128</v>
      </c>
      <c r="B13" t="s">
        <v>42</v>
      </c>
      <c r="C13" s="5" t="s">
        <v>44</v>
      </c>
      <c r="D13" s="69">
        <v>6.6741999999999998E-11</v>
      </c>
      <c r="E13" s="6" t="s">
        <v>99</v>
      </c>
      <c r="F13" s="7"/>
      <c r="G13" s="7"/>
      <c r="I13" t="s">
        <v>236</v>
      </c>
      <c r="M13" s="54"/>
    </row>
    <row r="14" spans="1:13" ht="18" x14ac:dyDescent="0.3">
      <c r="A14" s="48" t="s">
        <v>129</v>
      </c>
      <c r="B14" t="s">
        <v>81</v>
      </c>
      <c r="C14" s="5" t="s">
        <v>82</v>
      </c>
      <c r="D14" s="16">
        <v>6.0221415000000003E+23</v>
      </c>
      <c r="E14" s="6" t="s">
        <v>97</v>
      </c>
      <c r="F14" s="7"/>
      <c r="G14" s="7"/>
      <c r="I14" t="s">
        <v>237</v>
      </c>
    </row>
    <row r="15" spans="1:13" ht="15.75" x14ac:dyDescent="0.3">
      <c r="A15" s="48" t="s">
        <v>128</v>
      </c>
      <c r="B15" t="s">
        <v>45</v>
      </c>
      <c r="C15" s="5" t="s">
        <v>53</v>
      </c>
      <c r="D15" s="16">
        <v>1.3806505000000001E-23</v>
      </c>
      <c r="E15" s="6" t="s">
        <v>98</v>
      </c>
      <c r="F15" s="24">
        <f>p_kB/D43</f>
        <v>8.6173431837751368E-11</v>
      </c>
      <c r="G15" s="7" t="s">
        <v>182</v>
      </c>
      <c r="I15" t="s">
        <v>238</v>
      </c>
    </row>
    <row r="16" spans="1:13" ht="18" x14ac:dyDescent="0.3">
      <c r="A16" s="48" t="s">
        <v>128</v>
      </c>
      <c r="B16" t="s">
        <v>46</v>
      </c>
      <c r="C16" s="5" t="s">
        <v>54</v>
      </c>
      <c r="D16" s="16">
        <v>8987552000</v>
      </c>
      <c r="E16" s="6" t="s">
        <v>100</v>
      </c>
      <c r="F16" s="7"/>
      <c r="G16" s="7"/>
      <c r="I16" t="s">
        <v>239</v>
      </c>
    </row>
    <row r="17" spans="1:9" ht="17.25" x14ac:dyDescent="0.25">
      <c r="A17" s="48" t="s">
        <v>129</v>
      </c>
      <c r="B17" t="s">
        <v>47</v>
      </c>
      <c r="C17" s="20" t="s">
        <v>55</v>
      </c>
      <c r="D17" s="25">
        <f>2*PI()/15/p_h*(PI()*p_kB)^4/(p_h*p_c)^2</f>
        <v>5.6704012436541855E-8</v>
      </c>
      <c r="E17" s="6" t="s">
        <v>101</v>
      </c>
      <c r="F17" s="7"/>
      <c r="G17" s="7"/>
      <c r="I17" s="73" t="s">
        <v>240</v>
      </c>
    </row>
    <row r="18" spans="1:9" ht="17.25" x14ac:dyDescent="0.25">
      <c r="A18" s="48"/>
      <c r="B18" t="s">
        <v>331</v>
      </c>
      <c r="C18" s="20" t="s">
        <v>213</v>
      </c>
      <c r="D18" s="25">
        <f>4*p_Stefan/p_c</f>
        <v>7.5657690409999384E-16</v>
      </c>
      <c r="E18" s="6" t="s">
        <v>332</v>
      </c>
      <c r="F18" s="7" t="s">
        <v>214</v>
      </c>
      <c r="G18" s="7"/>
      <c r="I18" s="73" t="s">
        <v>241</v>
      </c>
    </row>
    <row r="19" spans="1:9" ht="17.25" x14ac:dyDescent="0.25">
      <c r="A19" s="48"/>
      <c r="B19" t="s">
        <v>333</v>
      </c>
      <c r="C19" s="20" t="s">
        <v>334</v>
      </c>
      <c r="D19" s="105">
        <f>2.404113806*8*PI()*(p_kB/p_h/p_c)^3</f>
        <v>20286919.960236095</v>
      </c>
      <c r="E19" s="6" t="s">
        <v>336</v>
      </c>
      <c r="F19" s="7"/>
      <c r="G19" s="7"/>
      <c r="I19" s="73" t="s">
        <v>335</v>
      </c>
    </row>
    <row r="20" spans="1:9" ht="17.25" x14ac:dyDescent="0.25">
      <c r="A20" s="48" t="s">
        <v>128</v>
      </c>
      <c r="B20" t="s">
        <v>48</v>
      </c>
      <c r="C20" s="5" t="s">
        <v>58</v>
      </c>
      <c r="D20" s="25">
        <f>p_me/8/p_h/p_c*(p_e*p_e/p_Epsilon0/p_h)^2</f>
        <v>10973731.603063662</v>
      </c>
      <c r="E20" s="6" t="s">
        <v>92</v>
      </c>
      <c r="F20" s="7"/>
      <c r="G20" s="7"/>
      <c r="I20" t="s">
        <v>242</v>
      </c>
    </row>
    <row r="21" spans="1:9" ht="17.25" x14ac:dyDescent="0.25">
      <c r="A21" s="48" t="s">
        <v>128</v>
      </c>
      <c r="B21" t="s">
        <v>48</v>
      </c>
      <c r="C21" s="5" t="s">
        <v>59</v>
      </c>
      <c r="D21" s="25">
        <f>p_Rydberg/(1+p_me/(p_mp+p_me))</f>
        <v>10967761.624706268</v>
      </c>
      <c r="E21" s="6" t="s">
        <v>92</v>
      </c>
      <c r="F21" s="7"/>
      <c r="G21" s="7"/>
    </row>
    <row r="22" spans="1:9" x14ac:dyDescent="0.25">
      <c r="A22" s="48"/>
      <c r="B22" t="s">
        <v>51</v>
      </c>
      <c r="C22" s="5" t="s">
        <v>60</v>
      </c>
      <c r="D22" s="15">
        <f>p_e*p_e*p_c*p_My0/2/p_h</f>
        <v>7.2973525540510958E-3</v>
      </c>
      <c r="E22" s="6"/>
      <c r="F22" s="32">
        <f>1/D22</f>
        <v>137.03599937005291</v>
      </c>
      <c r="G22" s="7" t="s">
        <v>106</v>
      </c>
    </row>
    <row r="23" spans="1:9" ht="16.5" x14ac:dyDescent="0.3">
      <c r="A23" s="48" t="s">
        <v>128</v>
      </c>
      <c r="B23" t="s">
        <v>49</v>
      </c>
      <c r="C23" s="20" t="s">
        <v>56</v>
      </c>
      <c r="D23" s="22">
        <f>4*PI()*0.0000001</f>
        <v>1.2566370614359173E-6</v>
      </c>
      <c r="E23" s="6" t="s">
        <v>102</v>
      </c>
      <c r="F23" s="7"/>
      <c r="G23" s="7"/>
      <c r="I23" t="s">
        <v>268</v>
      </c>
    </row>
    <row r="24" spans="1:9" ht="16.5" x14ac:dyDescent="0.3">
      <c r="A24" s="48" t="s">
        <v>128</v>
      </c>
      <c r="B24" t="s">
        <v>50</v>
      </c>
      <c r="C24" s="20" t="s">
        <v>57</v>
      </c>
      <c r="D24" s="15">
        <f>1/p_c/p_c/p_My0</f>
        <v>8.8541878176203892E-12</v>
      </c>
      <c r="E24" s="6" t="s">
        <v>103</v>
      </c>
      <c r="F24" s="7"/>
      <c r="G24" s="7"/>
      <c r="I24" t="s">
        <v>269</v>
      </c>
    </row>
    <row r="25" spans="1:9" x14ac:dyDescent="0.25">
      <c r="A25" s="48" t="s">
        <v>129</v>
      </c>
      <c r="B25" t="s">
        <v>52</v>
      </c>
      <c r="C25" s="5" t="s">
        <v>61</v>
      </c>
      <c r="D25" s="26">
        <v>8.3144720000000003</v>
      </c>
      <c r="E25" s="6" t="s">
        <v>104</v>
      </c>
      <c r="F25" s="7"/>
      <c r="G25" s="7"/>
      <c r="I25" t="s">
        <v>243</v>
      </c>
    </row>
    <row r="26" spans="1:9" x14ac:dyDescent="0.25">
      <c r="A26" s="48" t="s">
        <v>129</v>
      </c>
      <c r="B26" t="s">
        <v>83</v>
      </c>
      <c r="C26" s="5" t="s">
        <v>84</v>
      </c>
      <c r="D26" s="31">
        <v>2.8977685E-3</v>
      </c>
      <c r="E26" s="6" t="s">
        <v>105</v>
      </c>
      <c r="F26" s="7"/>
      <c r="G26" s="7"/>
      <c r="I26" t="s">
        <v>244</v>
      </c>
    </row>
    <row r="27" spans="1:9" x14ac:dyDescent="0.25">
      <c r="A27" s="48"/>
      <c r="B27" t="s">
        <v>202</v>
      </c>
      <c r="C27" s="20" t="s">
        <v>203</v>
      </c>
      <c r="D27" s="31">
        <f>p_me*p_mp/(p_me+p_mp)</f>
        <v>9.1044241755892496E-31</v>
      </c>
      <c r="E27" s="6" t="s">
        <v>12</v>
      </c>
      <c r="F27" s="7"/>
      <c r="G27" s="7"/>
      <c r="I27" t="s">
        <v>270</v>
      </c>
    </row>
    <row r="28" spans="1:9" ht="15.75" x14ac:dyDescent="0.3">
      <c r="A28" s="48" t="s">
        <v>129</v>
      </c>
      <c r="B28" t="s">
        <v>201</v>
      </c>
      <c r="C28" s="5" t="s">
        <v>200</v>
      </c>
      <c r="D28" s="61">
        <f>-p_meRed/8*(p_e*p_e/p_h/p_Epsilon0)^2</f>
        <v>-2.1786855391632361E-18</v>
      </c>
      <c r="E28" s="6" t="s">
        <v>26</v>
      </c>
      <c r="F28" s="32">
        <f>p_EHydrogen/p_e</f>
        <v>-13.59828644577159</v>
      </c>
      <c r="G28" s="7" t="s">
        <v>34</v>
      </c>
      <c r="I28" t="s">
        <v>271</v>
      </c>
    </row>
    <row r="29" spans="1:9" x14ac:dyDescent="0.25">
      <c r="A29" s="48" t="s">
        <v>129</v>
      </c>
      <c r="B29" t="s">
        <v>20</v>
      </c>
      <c r="C29" s="23" t="s">
        <v>90</v>
      </c>
      <c r="D29" s="27">
        <f>p_h*p_c/p_e*1000000000</f>
        <v>1239.8419057638671</v>
      </c>
      <c r="E29" s="6" t="s">
        <v>91</v>
      </c>
      <c r="F29" s="7"/>
      <c r="G29" s="7"/>
    </row>
    <row r="30" spans="1:9" x14ac:dyDescent="0.25">
      <c r="A30" s="48" t="s">
        <v>129</v>
      </c>
      <c r="B30" t="s">
        <v>85</v>
      </c>
      <c r="C30" s="23" t="s">
        <v>87</v>
      </c>
      <c r="D30" s="28">
        <v>101325</v>
      </c>
      <c r="E30" s="6" t="s">
        <v>89</v>
      </c>
      <c r="F30" s="7"/>
      <c r="G30" s="7"/>
    </row>
    <row r="31" spans="1:9" x14ac:dyDescent="0.25">
      <c r="A31" s="48" t="s">
        <v>128</v>
      </c>
      <c r="B31" t="s">
        <v>86</v>
      </c>
      <c r="C31" s="23" t="s">
        <v>88</v>
      </c>
      <c r="D31" s="28">
        <v>100000</v>
      </c>
      <c r="E31" s="6" t="s">
        <v>89</v>
      </c>
      <c r="F31" s="7"/>
      <c r="G31" s="7"/>
    </row>
    <row r="32" spans="1:9" x14ac:dyDescent="0.25">
      <c r="A32" s="48"/>
      <c r="C32" s="5"/>
      <c r="D32" s="8"/>
      <c r="E32" s="6"/>
      <c r="F32" s="7"/>
      <c r="G32" s="7"/>
    </row>
    <row r="33" spans="1:9" x14ac:dyDescent="0.25">
      <c r="A33" s="48" t="s">
        <v>126</v>
      </c>
      <c r="B33" t="s">
        <v>10</v>
      </c>
      <c r="C33" s="5" t="s">
        <v>11</v>
      </c>
      <c r="D33" s="16">
        <v>1.6605388599999999E-27</v>
      </c>
      <c r="E33" s="6" t="s">
        <v>12</v>
      </c>
      <c r="F33" s="9">
        <v>1</v>
      </c>
      <c r="G33" s="7" t="s">
        <v>13</v>
      </c>
      <c r="I33" t="s">
        <v>245</v>
      </c>
    </row>
    <row r="34" spans="1:9" ht="15.75" x14ac:dyDescent="0.3">
      <c r="A34" s="48" t="s">
        <v>126</v>
      </c>
      <c r="B34" t="s">
        <v>14</v>
      </c>
      <c r="C34" s="5" t="s">
        <v>15</v>
      </c>
      <c r="D34" s="16">
        <v>1.6726217100000002E-27</v>
      </c>
      <c r="E34" s="6" t="s">
        <v>12</v>
      </c>
      <c r="F34" s="10">
        <f>p_mp/p_u</f>
        <v>1.0072764632560303</v>
      </c>
      <c r="G34" s="7" t="s">
        <v>13</v>
      </c>
      <c r="I34" t="s">
        <v>246</v>
      </c>
    </row>
    <row r="35" spans="1:9" ht="15.75" x14ac:dyDescent="0.3">
      <c r="A35" s="48" t="s">
        <v>126</v>
      </c>
      <c r="B35" t="s">
        <v>16</v>
      </c>
      <c r="C35" s="5" t="s">
        <v>17</v>
      </c>
      <c r="D35" s="16">
        <v>1.6749272800000002E-27</v>
      </c>
      <c r="E35" s="6" t="s">
        <v>12</v>
      </c>
      <c r="F35" s="9">
        <f>p_mn/p_u</f>
        <v>1.0086649101364604</v>
      </c>
      <c r="G35" s="7" t="s">
        <v>13</v>
      </c>
      <c r="I35" t="s">
        <v>247</v>
      </c>
    </row>
    <row r="36" spans="1:9" ht="15.75" x14ac:dyDescent="0.3">
      <c r="A36" s="48" t="s">
        <v>126</v>
      </c>
      <c r="B36" t="s">
        <v>18</v>
      </c>
      <c r="C36" s="5" t="s">
        <v>19</v>
      </c>
      <c r="D36" s="29">
        <v>9.1093825999999998E-31</v>
      </c>
      <c r="E36" s="6" t="s">
        <v>12</v>
      </c>
      <c r="F36" s="9">
        <f>p_me/p_u</f>
        <v>5.485799109814269E-4</v>
      </c>
      <c r="G36" s="7" t="s">
        <v>13</v>
      </c>
      <c r="I36" t="s">
        <v>248</v>
      </c>
    </row>
    <row r="37" spans="1:9" ht="17.25" x14ac:dyDescent="0.25">
      <c r="A37" s="48" t="s">
        <v>129</v>
      </c>
      <c r="B37" t="s">
        <v>20</v>
      </c>
      <c r="C37" s="5" t="s">
        <v>21</v>
      </c>
      <c r="D37" s="31">
        <f>p_c*p_c</f>
        <v>8.987551787368176E+16</v>
      </c>
      <c r="E37" s="6" t="s">
        <v>22</v>
      </c>
      <c r="F37" s="11">
        <f>p_u*p_cc/p_e/1000000</f>
        <v>931.49404698790022</v>
      </c>
      <c r="G37" s="7" t="s">
        <v>23</v>
      </c>
      <c r="I37" t="s">
        <v>249</v>
      </c>
    </row>
    <row r="38" spans="1:9" ht="15.75" x14ac:dyDescent="0.3">
      <c r="A38" s="48" t="s">
        <v>126</v>
      </c>
      <c r="B38" t="s">
        <v>24</v>
      </c>
      <c r="C38" s="5" t="s">
        <v>25</v>
      </c>
      <c r="D38" s="25">
        <f>p_mp*p_cc</f>
        <v>1.5032774239301317E-10</v>
      </c>
      <c r="E38" s="6" t="s">
        <v>26</v>
      </c>
      <c r="F38" s="11">
        <f>D38/D$43</f>
        <v>938.27202919401873</v>
      </c>
      <c r="G38" s="7" t="s">
        <v>27</v>
      </c>
    </row>
    <row r="39" spans="1:9" ht="15.75" x14ac:dyDescent="0.3">
      <c r="A39" s="48" t="s">
        <v>126</v>
      </c>
      <c r="B39" t="s">
        <v>28</v>
      </c>
      <c r="C39" s="5" t="s">
        <v>29</v>
      </c>
      <c r="D39" s="25">
        <f>p_mn*p_cc</f>
        <v>1.5053495669075719E-10</v>
      </c>
      <c r="E39" s="6" t="s">
        <v>26</v>
      </c>
      <c r="F39" s="11">
        <f>D39/D$43</f>
        <v>939.56535919769829</v>
      </c>
      <c r="G39" s="7" t="s">
        <v>27</v>
      </c>
    </row>
    <row r="40" spans="1:9" ht="15.75" x14ac:dyDescent="0.3">
      <c r="A40" s="48" t="s">
        <v>126</v>
      </c>
      <c r="B40" t="s">
        <v>30</v>
      </c>
      <c r="C40" s="5" t="s">
        <v>31</v>
      </c>
      <c r="D40" s="25">
        <f>p_me*p_cc</f>
        <v>8.1871047868450562E-14</v>
      </c>
      <c r="E40" s="6" t="s">
        <v>26</v>
      </c>
      <c r="F40" s="10">
        <f>D40/D$43</f>
        <v>0.51099892137635139</v>
      </c>
      <c r="G40" s="7" t="s">
        <v>27</v>
      </c>
    </row>
    <row r="41" spans="1:9" x14ac:dyDescent="0.25">
      <c r="A41" s="48" t="s">
        <v>126</v>
      </c>
      <c r="B41" t="s">
        <v>32</v>
      </c>
      <c r="C41" s="5" t="s">
        <v>33</v>
      </c>
      <c r="D41" s="12">
        <f>p_e</f>
        <v>1.60217653E-19</v>
      </c>
      <c r="E41" s="6" t="s">
        <v>26</v>
      </c>
      <c r="F41" s="74">
        <f>D41/D15</f>
        <v>11604.504760618272</v>
      </c>
      <c r="G41" s="7" t="s">
        <v>183</v>
      </c>
      <c r="I41" s="50"/>
    </row>
    <row r="42" spans="1:9" x14ac:dyDescent="0.25">
      <c r="A42" s="48" t="s">
        <v>126</v>
      </c>
      <c r="B42" t="s">
        <v>35</v>
      </c>
      <c r="C42" s="5" t="s">
        <v>33</v>
      </c>
      <c r="D42" s="12">
        <f>1000*p_e</f>
        <v>1.6021765300000001E-16</v>
      </c>
      <c r="E42" s="6" t="s">
        <v>26</v>
      </c>
      <c r="F42" s="13">
        <v>1000</v>
      </c>
      <c r="G42" s="7" t="s">
        <v>34</v>
      </c>
    </row>
    <row r="43" spans="1:9" x14ac:dyDescent="0.25">
      <c r="A43" s="48" t="s">
        <v>126</v>
      </c>
      <c r="B43" t="s">
        <v>36</v>
      </c>
      <c r="C43" s="5" t="s">
        <v>33</v>
      </c>
      <c r="D43" s="12">
        <f>1000000*p_e</f>
        <v>1.6021765300000001E-13</v>
      </c>
      <c r="E43" s="6" t="s">
        <v>26</v>
      </c>
      <c r="F43" s="13">
        <v>1000000</v>
      </c>
      <c r="G43" s="7" t="s">
        <v>34</v>
      </c>
    </row>
    <row r="44" spans="1:9" x14ac:dyDescent="0.25">
      <c r="A44" s="48" t="s">
        <v>126</v>
      </c>
      <c r="B44" t="s">
        <v>37</v>
      </c>
      <c r="C44" s="5" t="s">
        <v>33</v>
      </c>
      <c r="D44" s="12">
        <f>1000000000*p_e</f>
        <v>1.60217653E-10</v>
      </c>
      <c r="E44" s="6" t="s">
        <v>26</v>
      </c>
      <c r="F44" s="13">
        <v>1000000000</v>
      </c>
      <c r="G44" s="7" t="s">
        <v>34</v>
      </c>
    </row>
    <row r="46" spans="1:9" ht="15.75" x14ac:dyDescent="0.3">
      <c r="B46" t="s">
        <v>184</v>
      </c>
      <c r="C46" s="23" t="s">
        <v>187</v>
      </c>
      <c r="D46">
        <v>412</v>
      </c>
      <c r="E46" s="6" t="s">
        <v>188</v>
      </c>
      <c r="F46" s="7">
        <f>D46*1000/$D$14</f>
        <v>6.8414201160832895E-19</v>
      </c>
      <c r="G46" s="7" t="s">
        <v>185</v>
      </c>
    </row>
    <row r="47" spans="1:9" ht="15.75" x14ac:dyDescent="0.3">
      <c r="B47" t="s">
        <v>190</v>
      </c>
      <c r="C47" s="23" t="s">
        <v>191</v>
      </c>
      <c r="D47" s="55">
        <f>$D$11*$D$9/F46</f>
        <v>2.9035574027320208E-7</v>
      </c>
      <c r="E47" s="57" t="s">
        <v>94</v>
      </c>
      <c r="F47" s="58">
        <f>1000000000*D47</f>
        <v>290.35574027320206</v>
      </c>
      <c r="G47" s="7" t="s">
        <v>186</v>
      </c>
    </row>
    <row r="48" spans="1:9" ht="15.75" x14ac:dyDescent="0.3">
      <c r="B48" t="s">
        <v>189</v>
      </c>
      <c r="C48" s="23" t="s">
        <v>187</v>
      </c>
      <c r="D48">
        <v>496</v>
      </c>
      <c r="E48" s="6" t="s">
        <v>188</v>
      </c>
      <c r="F48" s="7">
        <f>D48*1000/$D$14</f>
        <v>8.23627276110998E-19</v>
      </c>
      <c r="G48" s="7" t="s">
        <v>185</v>
      </c>
    </row>
    <row r="49" spans="2:7" ht="15.75" x14ac:dyDescent="0.3">
      <c r="B49" t="s">
        <v>190</v>
      </c>
      <c r="C49" s="23" t="s">
        <v>191</v>
      </c>
      <c r="D49" s="55">
        <f>$D$11*$D$9/F48</f>
        <v>2.4118259071080492E-7</v>
      </c>
      <c r="E49" s="57" t="s">
        <v>94</v>
      </c>
      <c r="F49" s="58">
        <f>1000000000*D49</f>
        <v>241.18259071080493</v>
      </c>
      <c r="G49" s="7" t="s">
        <v>186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M48"/>
  <sheetViews>
    <sheetView zoomScale="120" zoomScaleNormal="120" workbookViewId="0">
      <selection activeCell="D26" sqref="D26"/>
    </sheetView>
  </sheetViews>
  <sheetFormatPr defaultRowHeight="15" x14ac:dyDescent="0.25"/>
  <cols>
    <col min="1" max="1" width="28.42578125" bestFit="1" customWidth="1"/>
    <col min="2" max="2" width="11.5703125" customWidth="1"/>
    <col min="3" max="3" width="17.85546875" bestFit="1" customWidth="1"/>
    <col min="4" max="4" width="10.85546875" bestFit="1" customWidth="1"/>
    <col min="5" max="5" width="14.7109375" bestFit="1" customWidth="1"/>
    <col min="6" max="6" width="7" bestFit="1" customWidth="1"/>
    <col min="7" max="7" width="17.85546875" bestFit="1" customWidth="1"/>
    <col min="8" max="8" width="7" bestFit="1" customWidth="1"/>
    <col min="11" max="11" width="12" bestFit="1" customWidth="1"/>
    <col min="13" max="13" width="9.140625" customWidth="1"/>
  </cols>
  <sheetData>
    <row r="1" spans="1:13" ht="18.75" x14ac:dyDescent="0.3">
      <c r="B1" s="51" t="s">
        <v>132</v>
      </c>
    </row>
    <row r="2" spans="1:13" x14ac:dyDescent="0.25">
      <c r="B2" t="str">
        <f>Forside!B2</f>
        <v>HN, 2015-07-12</v>
      </c>
    </row>
    <row r="4" spans="1:13" x14ac:dyDescent="0.25">
      <c r="B4" s="18" t="s">
        <v>38</v>
      </c>
    </row>
    <row r="5" spans="1:13" x14ac:dyDescent="0.25">
      <c r="B5" s="19" t="s">
        <v>39</v>
      </c>
    </row>
    <row r="6" spans="1:13" x14ac:dyDescent="0.25">
      <c r="B6" s="17" t="s">
        <v>40</v>
      </c>
    </row>
    <row r="8" spans="1:13" x14ac:dyDescent="0.25">
      <c r="A8" s="2" t="s">
        <v>0</v>
      </c>
      <c r="B8" s="2" t="s">
        <v>1</v>
      </c>
      <c r="C8" s="3" t="s">
        <v>2</v>
      </c>
      <c r="D8" s="3" t="s">
        <v>3</v>
      </c>
      <c r="E8" s="4" t="s">
        <v>2</v>
      </c>
      <c r="F8" s="4" t="s">
        <v>3</v>
      </c>
      <c r="G8" s="37" t="s">
        <v>2</v>
      </c>
      <c r="H8" s="37" t="s">
        <v>3</v>
      </c>
      <c r="K8" s="1" t="s">
        <v>250</v>
      </c>
      <c r="M8" s="77"/>
    </row>
    <row r="9" spans="1:13" x14ac:dyDescent="0.25">
      <c r="A9" t="s">
        <v>62</v>
      </c>
      <c r="B9" s="21" t="s">
        <v>109</v>
      </c>
      <c r="C9" s="33">
        <v>86400</v>
      </c>
      <c r="D9" t="s">
        <v>93</v>
      </c>
      <c r="K9" t="s">
        <v>251</v>
      </c>
    </row>
    <row r="10" spans="1:13" x14ac:dyDescent="0.25">
      <c r="A10" t="s">
        <v>215</v>
      </c>
      <c r="B10" s="21" t="s">
        <v>70</v>
      </c>
      <c r="C10" s="33">
        <f t="shared" ref="C10:C16" si="0">a_d*E10</f>
        <v>31557600</v>
      </c>
      <c r="D10" t="s">
        <v>93</v>
      </c>
      <c r="E10" s="33">
        <v>365.25</v>
      </c>
      <c r="F10" t="s">
        <v>107</v>
      </c>
      <c r="K10" t="s">
        <v>252</v>
      </c>
    </row>
    <row r="11" spans="1:13" ht="18" x14ac:dyDescent="0.35">
      <c r="A11" t="s">
        <v>63</v>
      </c>
      <c r="B11" s="21" t="s">
        <v>216</v>
      </c>
      <c r="C11" s="35">
        <f t="shared" si="0"/>
        <v>31556925.177983999</v>
      </c>
      <c r="D11" t="s">
        <v>93</v>
      </c>
      <c r="E11" s="34">
        <v>365.24218955999999</v>
      </c>
      <c r="F11" t="s">
        <v>107</v>
      </c>
      <c r="K11" t="s">
        <v>253</v>
      </c>
    </row>
    <row r="12" spans="1:13" ht="18" x14ac:dyDescent="0.35">
      <c r="A12" t="s">
        <v>217</v>
      </c>
      <c r="B12" s="21" t="s">
        <v>220</v>
      </c>
      <c r="C12" s="35">
        <f t="shared" si="0"/>
        <v>31558149.763545599</v>
      </c>
      <c r="D12" t="s">
        <v>93</v>
      </c>
      <c r="E12" s="34">
        <v>365.25636300399998</v>
      </c>
      <c r="F12" t="s">
        <v>107</v>
      </c>
      <c r="G12" s="72"/>
      <c r="K12" t="s">
        <v>254</v>
      </c>
    </row>
    <row r="13" spans="1:13" ht="18" x14ac:dyDescent="0.35">
      <c r="A13" t="s">
        <v>218</v>
      </c>
      <c r="B13" s="21" t="s">
        <v>221</v>
      </c>
      <c r="C13" s="35">
        <f t="shared" si="0"/>
        <v>31558432.5504</v>
      </c>
      <c r="D13" t="s">
        <v>93</v>
      </c>
      <c r="E13" s="34">
        <v>365.259636</v>
      </c>
      <c r="F13" t="s">
        <v>107</v>
      </c>
      <c r="K13" t="s">
        <v>256</v>
      </c>
    </row>
    <row r="14" spans="1:13" ht="18" x14ac:dyDescent="0.35">
      <c r="A14" t="s">
        <v>219</v>
      </c>
      <c r="B14" s="21" t="s">
        <v>222</v>
      </c>
      <c r="C14" s="35">
        <f t="shared" si="0"/>
        <v>29947974.556291204</v>
      </c>
      <c r="D14" t="s">
        <v>93</v>
      </c>
      <c r="E14" s="34">
        <v>346.62007588300003</v>
      </c>
      <c r="F14" t="s">
        <v>107</v>
      </c>
      <c r="K14" t="s">
        <v>255</v>
      </c>
    </row>
    <row r="15" spans="1:13" x14ac:dyDescent="0.25">
      <c r="A15" t="s">
        <v>321</v>
      </c>
      <c r="B15" s="21"/>
      <c r="C15" s="45">
        <f t="shared" si="0"/>
        <v>2360591.5104</v>
      </c>
      <c r="D15" t="s">
        <v>93</v>
      </c>
      <c r="E15" s="34">
        <v>27.321660999999999</v>
      </c>
      <c r="F15" t="s">
        <v>107</v>
      </c>
    </row>
    <row r="16" spans="1:13" x14ac:dyDescent="0.25">
      <c r="A16" t="s">
        <v>322</v>
      </c>
      <c r="B16" s="21"/>
      <c r="C16" s="45">
        <f t="shared" si="0"/>
        <v>2551442.8015584</v>
      </c>
      <c r="D16" t="s">
        <v>93</v>
      </c>
      <c r="E16" s="34">
        <v>29.530587981</v>
      </c>
      <c r="F16" t="s">
        <v>107</v>
      </c>
    </row>
    <row r="17" spans="1:11" x14ac:dyDescent="0.25">
      <c r="A17" t="s">
        <v>64</v>
      </c>
      <c r="B17" s="21" t="s">
        <v>264</v>
      </c>
      <c r="C17" s="60">
        <v>149597871000</v>
      </c>
      <c r="D17" t="s">
        <v>94</v>
      </c>
      <c r="E17" s="59">
        <f>a_ae/1000</f>
        <v>149597871</v>
      </c>
      <c r="F17" t="s">
        <v>114</v>
      </c>
      <c r="K17" t="s">
        <v>257</v>
      </c>
    </row>
    <row r="18" spans="1:11" x14ac:dyDescent="0.25">
      <c r="A18" t="s">
        <v>65</v>
      </c>
      <c r="B18" s="21" t="s">
        <v>69</v>
      </c>
      <c r="C18" s="76">
        <f>p_c*a_a</f>
        <v>9460730472580800</v>
      </c>
      <c r="D18" t="s">
        <v>94</v>
      </c>
      <c r="E18" s="71">
        <f>C18/E19</f>
        <v>0.30660139317069945</v>
      </c>
      <c r="F18" t="s">
        <v>108</v>
      </c>
      <c r="G18" s="45">
        <f>a_la/a_ae</f>
        <v>63241.076957444136</v>
      </c>
      <c r="H18" t="s">
        <v>263</v>
      </c>
      <c r="K18" t="s">
        <v>258</v>
      </c>
    </row>
    <row r="19" spans="1:11" x14ac:dyDescent="0.25">
      <c r="A19" t="s">
        <v>66</v>
      </c>
      <c r="B19" s="21" t="s">
        <v>72</v>
      </c>
      <c r="C19" s="30">
        <f>3600*180/PI()</f>
        <v>206264.80624709636</v>
      </c>
      <c r="D19" t="s">
        <v>263</v>
      </c>
      <c r="E19" s="49">
        <f>C19*a_ae</f>
        <v>3.0856775876793116E+16</v>
      </c>
      <c r="F19" t="s">
        <v>94</v>
      </c>
      <c r="G19" s="38">
        <f>E19/a_la</f>
        <v>3.261563783708096</v>
      </c>
      <c r="H19" t="s">
        <v>110</v>
      </c>
      <c r="K19" t="s">
        <v>259</v>
      </c>
    </row>
    <row r="20" spans="1:11" x14ac:dyDescent="0.25">
      <c r="A20" t="s">
        <v>228</v>
      </c>
      <c r="B20" s="21" t="s">
        <v>229</v>
      </c>
      <c r="C20" s="49">
        <f>1000*C19</f>
        <v>206264806.24709636</v>
      </c>
      <c r="D20" t="s">
        <v>263</v>
      </c>
      <c r="E20" s="49">
        <f>1000*a_pc</f>
        <v>3.0856775876793115E+19</v>
      </c>
      <c r="F20" t="s">
        <v>94</v>
      </c>
      <c r="G20" s="39">
        <f>1000*G19</f>
        <v>3261.5637837080958</v>
      </c>
      <c r="H20" t="s">
        <v>110</v>
      </c>
      <c r="K20" t="s">
        <v>265</v>
      </c>
    </row>
    <row r="21" spans="1:11" x14ac:dyDescent="0.25">
      <c r="A21" t="s">
        <v>68</v>
      </c>
      <c r="B21" s="21" t="s">
        <v>71</v>
      </c>
      <c r="C21" s="49">
        <f t="shared" ref="C21:G22" si="1">1000*C20</f>
        <v>206264806247.09637</v>
      </c>
      <c r="D21" t="s">
        <v>263</v>
      </c>
      <c r="E21" s="49">
        <f>1000*a_kpc</f>
        <v>3.0856775876793116E+22</v>
      </c>
      <c r="F21" t="s">
        <v>94</v>
      </c>
      <c r="G21" s="36">
        <f t="shared" si="1"/>
        <v>3261563.783708096</v>
      </c>
      <c r="H21" t="s">
        <v>110</v>
      </c>
      <c r="K21" t="s">
        <v>266</v>
      </c>
    </row>
    <row r="22" spans="1:11" x14ac:dyDescent="0.25">
      <c r="A22" t="s">
        <v>226</v>
      </c>
      <c r="B22" s="21" t="s">
        <v>227</v>
      </c>
      <c r="C22" s="49">
        <f t="shared" si="1"/>
        <v>206264806247096.37</v>
      </c>
      <c r="D22" t="s">
        <v>263</v>
      </c>
      <c r="E22" s="49">
        <f>1000*a_Mpc</f>
        <v>3.0856775876793114E+25</v>
      </c>
      <c r="F22" t="s">
        <v>94</v>
      </c>
      <c r="G22" s="36">
        <f t="shared" si="1"/>
        <v>3261563783.708096</v>
      </c>
      <c r="H22" t="s">
        <v>110</v>
      </c>
      <c r="K22" t="s">
        <v>267</v>
      </c>
    </row>
    <row r="24" spans="1:11" x14ac:dyDescent="0.25">
      <c r="A24" s="1" t="s">
        <v>273</v>
      </c>
      <c r="C24" t="s">
        <v>275</v>
      </c>
      <c r="D24" t="s">
        <v>272</v>
      </c>
    </row>
    <row r="25" spans="1:11" x14ac:dyDescent="0.25">
      <c r="C25" s="62" t="s">
        <v>274</v>
      </c>
      <c r="D25" s="62"/>
      <c r="G25" s="62" t="s">
        <v>276</v>
      </c>
    </row>
    <row r="26" spans="1:11" ht="18.75" x14ac:dyDescent="0.35">
      <c r="A26" t="s">
        <v>277</v>
      </c>
      <c r="B26" s="21" t="s">
        <v>210</v>
      </c>
      <c r="C26" s="75">
        <v>1.32712440018E+20</v>
      </c>
      <c r="D26" t="s">
        <v>211</v>
      </c>
      <c r="E26" t="s">
        <v>289</v>
      </c>
      <c r="F26" s="21" t="s">
        <v>115</v>
      </c>
      <c r="G26" s="76">
        <f t="shared" ref="G26:G35" si="2">C26/p_G</f>
        <v>1.9884396634503013E+30</v>
      </c>
      <c r="H26" t="s">
        <v>12</v>
      </c>
      <c r="K26" t="s">
        <v>288</v>
      </c>
    </row>
    <row r="27" spans="1:11" ht="17.25" x14ac:dyDescent="0.25">
      <c r="A27" t="s">
        <v>278</v>
      </c>
      <c r="B27" s="21"/>
      <c r="C27" s="41">
        <v>22032000000000</v>
      </c>
      <c r="D27" t="s">
        <v>211</v>
      </c>
      <c r="F27" s="21"/>
      <c r="G27" s="76">
        <f t="shared" si="2"/>
        <v>3.3010697911360167E+23</v>
      </c>
      <c r="H27" t="s">
        <v>12</v>
      </c>
    </row>
    <row r="28" spans="1:11" ht="17.25" x14ac:dyDescent="0.25">
      <c r="A28" t="s">
        <v>279</v>
      </c>
      <c r="B28" s="21"/>
      <c r="C28" s="81">
        <v>324859000000000</v>
      </c>
      <c r="D28" t="s">
        <v>211</v>
      </c>
      <c r="F28" s="21"/>
      <c r="G28" s="76">
        <f t="shared" si="2"/>
        <v>4.8673848551137215E+24</v>
      </c>
      <c r="H28" t="s">
        <v>12</v>
      </c>
    </row>
    <row r="29" spans="1:11" ht="18.75" x14ac:dyDescent="0.35">
      <c r="A29" t="s">
        <v>280</v>
      </c>
      <c r="B29" s="21" t="s">
        <v>209</v>
      </c>
      <c r="C29" s="83">
        <v>398600441800000</v>
      </c>
      <c r="D29" t="s">
        <v>212</v>
      </c>
      <c r="F29" s="21" t="s">
        <v>116</v>
      </c>
      <c r="G29" s="76">
        <f t="shared" si="2"/>
        <v>5.9722579754876988E+24</v>
      </c>
      <c r="H29" t="s">
        <v>12</v>
      </c>
    </row>
    <row r="30" spans="1:11" ht="18.75" x14ac:dyDescent="0.35">
      <c r="A30" t="s">
        <v>281</v>
      </c>
      <c r="B30" s="21" t="s">
        <v>287</v>
      </c>
      <c r="C30" s="41">
        <v>4902800000000</v>
      </c>
      <c r="D30" t="s">
        <v>211</v>
      </c>
      <c r="F30" s="21" t="s">
        <v>117</v>
      </c>
      <c r="G30" s="76">
        <f t="shared" si="2"/>
        <v>7.3458991339786046E+22</v>
      </c>
      <c r="H30" t="s">
        <v>12</v>
      </c>
    </row>
    <row r="31" spans="1:11" ht="17.25" x14ac:dyDescent="0.25">
      <c r="A31" t="s">
        <v>282</v>
      </c>
      <c r="B31" s="21"/>
      <c r="C31" s="41">
        <v>42828000000000</v>
      </c>
      <c r="D31" t="s">
        <v>211</v>
      </c>
      <c r="G31" s="76">
        <f t="shared" si="2"/>
        <v>6.4169488478019844E+23</v>
      </c>
      <c r="H31" t="s">
        <v>12</v>
      </c>
    </row>
    <row r="32" spans="1:11" ht="17.25" x14ac:dyDescent="0.25">
      <c r="A32" t="s">
        <v>283</v>
      </c>
      <c r="B32" s="21"/>
      <c r="C32" s="82">
        <v>1.26686534E+17</v>
      </c>
      <c r="D32" t="s">
        <v>211</v>
      </c>
      <c r="G32" s="76">
        <f t="shared" si="2"/>
        <v>1.8981530970003896E+27</v>
      </c>
      <c r="H32" t="s">
        <v>12</v>
      </c>
    </row>
    <row r="33" spans="1:8" ht="17.25" x14ac:dyDescent="0.25">
      <c r="A33" t="s">
        <v>286</v>
      </c>
      <c r="B33" s="21"/>
      <c r="C33" s="75">
        <v>3.7931187E+16</v>
      </c>
      <c r="D33" t="s">
        <v>211</v>
      </c>
      <c r="G33" s="76">
        <f t="shared" si="2"/>
        <v>5.6832559707530491E+26</v>
      </c>
      <c r="H33" t="s">
        <v>12</v>
      </c>
    </row>
    <row r="34" spans="1:8" ht="17.25" x14ac:dyDescent="0.25">
      <c r="A34" t="s">
        <v>284</v>
      </c>
      <c r="B34" s="21"/>
      <c r="C34" s="80">
        <v>5793939000000000</v>
      </c>
      <c r="D34" t="s">
        <v>211</v>
      </c>
      <c r="G34" s="76">
        <f t="shared" si="2"/>
        <v>8.6810988582901328E+25</v>
      </c>
      <c r="H34" t="s">
        <v>12</v>
      </c>
    </row>
    <row r="35" spans="1:8" ht="17.25" x14ac:dyDescent="0.25">
      <c r="A35" t="s">
        <v>285</v>
      </c>
      <c r="B35" s="21"/>
      <c r="C35" s="80">
        <v>6836529000000000</v>
      </c>
      <c r="D35" t="s">
        <v>211</v>
      </c>
      <c r="G35" s="76">
        <f t="shared" si="2"/>
        <v>1.0243218662910911E+26</v>
      </c>
      <c r="H35" t="s">
        <v>12</v>
      </c>
    </row>
    <row r="36" spans="1:8" x14ac:dyDescent="0.25">
      <c r="B36" s="21"/>
      <c r="C36" s="78"/>
      <c r="E36" s="79"/>
    </row>
    <row r="37" spans="1:8" ht="18" x14ac:dyDescent="0.35">
      <c r="A37" t="s">
        <v>112</v>
      </c>
      <c r="B37" s="21" t="s">
        <v>118</v>
      </c>
      <c r="C37" s="40">
        <v>3.8260000000000003E+26</v>
      </c>
      <c r="D37" t="s">
        <v>113</v>
      </c>
    </row>
    <row r="38" spans="1:8" ht="18" x14ac:dyDescent="0.35">
      <c r="A38" t="s">
        <v>74</v>
      </c>
      <c r="B38" s="21" t="s">
        <v>119</v>
      </c>
      <c r="C38" s="41">
        <v>695990000</v>
      </c>
      <c r="D38" t="s">
        <v>94</v>
      </c>
      <c r="E38" s="45">
        <f>C38/1000</f>
        <v>695990</v>
      </c>
      <c r="F38" t="s">
        <v>114</v>
      </c>
    </row>
    <row r="39" spans="1:8" ht="18" x14ac:dyDescent="0.35">
      <c r="A39" t="s">
        <v>199</v>
      </c>
      <c r="B39" s="21" t="s">
        <v>121</v>
      </c>
      <c r="C39" s="49">
        <f>E39*1000</f>
        <v>6378140</v>
      </c>
      <c r="D39" t="s">
        <v>94</v>
      </c>
      <c r="E39" s="42">
        <v>6378.14</v>
      </c>
      <c r="F39" t="s">
        <v>114</v>
      </c>
    </row>
    <row r="40" spans="1:8" ht="18" x14ac:dyDescent="0.35">
      <c r="A40" t="s">
        <v>75</v>
      </c>
      <c r="B40" s="21" t="s">
        <v>120</v>
      </c>
      <c r="C40" s="49">
        <f>E40*1000</f>
        <v>6356775</v>
      </c>
      <c r="D40" t="s">
        <v>94</v>
      </c>
      <c r="E40" s="34">
        <v>6356.7749999999996</v>
      </c>
      <c r="F40" t="s">
        <v>114</v>
      </c>
    </row>
    <row r="41" spans="1:8" ht="18" x14ac:dyDescent="0.35">
      <c r="A41" t="s">
        <v>76</v>
      </c>
      <c r="B41" s="21" t="s">
        <v>122</v>
      </c>
      <c r="C41" s="49">
        <f>E41*1000</f>
        <v>6371010.3666327447</v>
      </c>
      <c r="D41" t="s">
        <v>94</v>
      </c>
      <c r="E41" s="44">
        <f>(E39*E39*E40)^(1/3)</f>
        <v>6371.010366632745</v>
      </c>
      <c r="F41" t="s">
        <v>114</v>
      </c>
    </row>
    <row r="42" spans="1:8" ht="18" x14ac:dyDescent="0.35">
      <c r="A42" t="s">
        <v>77</v>
      </c>
      <c r="B42" s="21" t="s">
        <v>124</v>
      </c>
      <c r="C42" s="68">
        <f>E42*1000</f>
        <v>1738000</v>
      </c>
      <c r="D42" t="s">
        <v>94</v>
      </c>
      <c r="E42" s="43">
        <v>1738</v>
      </c>
      <c r="F42" t="s">
        <v>114</v>
      </c>
    </row>
    <row r="43" spans="1:8" ht="18" x14ac:dyDescent="0.35">
      <c r="A43" t="s">
        <v>78</v>
      </c>
      <c r="B43" s="21" t="s">
        <v>123</v>
      </c>
      <c r="C43" s="36">
        <f>E43*1000</f>
        <v>384399000</v>
      </c>
      <c r="D43" t="s">
        <v>94</v>
      </c>
      <c r="E43" s="34">
        <v>384399</v>
      </c>
      <c r="F43" t="s">
        <v>114</v>
      </c>
    </row>
    <row r="44" spans="1:8" ht="18" x14ac:dyDescent="0.35">
      <c r="A44" t="s">
        <v>207</v>
      </c>
      <c r="B44" s="21" t="s">
        <v>208</v>
      </c>
      <c r="C44" s="45">
        <f>2*C26/p_cc</f>
        <v>2953.2500765008035</v>
      </c>
      <c r="D44" s="35" t="s">
        <v>94</v>
      </c>
      <c r="E44" s="44">
        <f>C44/1000</f>
        <v>2.9532500765008036</v>
      </c>
      <c r="F44" t="s">
        <v>114</v>
      </c>
    </row>
    <row r="47" spans="1:8" x14ac:dyDescent="0.25">
      <c r="C47" s="50">
        <f>3*(70000/E22)^2/8/PI()/'Fysiske konstanter'!D13</f>
        <v>9.2040117883367815E-33</v>
      </c>
      <c r="D47" t="s">
        <v>130</v>
      </c>
    </row>
    <row r="48" spans="1:8" x14ac:dyDescent="0.25">
      <c r="C48" s="50" t="e">
        <f>C47*E22^3/#REF!</f>
        <v>#REF!</v>
      </c>
      <c r="D48" t="s">
        <v>131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M63"/>
  <sheetViews>
    <sheetView topLeftCell="A4" zoomScale="145" zoomScaleNormal="145" workbookViewId="0">
      <selection activeCell="I34" sqref="I34"/>
    </sheetView>
  </sheetViews>
  <sheetFormatPr defaultRowHeight="15" x14ac:dyDescent="0.25"/>
  <cols>
    <col min="1" max="1" width="28.42578125" customWidth="1"/>
    <col min="2" max="2" width="10.28515625" customWidth="1"/>
    <col min="3" max="3" width="12.5703125" bestFit="1" customWidth="1"/>
    <col min="4" max="4" width="11.28515625" bestFit="1" customWidth="1"/>
    <col min="5" max="5" width="10" bestFit="1" customWidth="1"/>
    <col min="6" max="6" width="9.5703125" bestFit="1" customWidth="1"/>
    <col min="7" max="7" width="11.28515625" bestFit="1" customWidth="1"/>
  </cols>
  <sheetData>
    <row r="1" spans="1:13" ht="18.75" x14ac:dyDescent="0.3">
      <c r="B1" s="51" t="s">
        <v>180</v>
      </c>
    </row>
    <row r="2" spans="1:13" x14ac:dyDescent="0.25">
      <c r="B2" t="str">
        <f>Forside!B2</f>
        <v>HN, 2015-07-12</v>
      </c>
    </row>
    <row r="4" spans="1:13" x14ac:dyDescent="0.25">
      <c r="A4" t="s">
        <v>325</v>
      </c>
    </row>
    <row r="5" spans="1:13" x14ac:dyDescent="0.25">
      <c r="A5" t="s">
        <v>326</v>
      </c>
    </row>
    <row r="6" spans="1:13" x14ac:dyDescent="0.25">
      <c r="A6" s="62"/>
    </row>
    <row r="7" spans="1:13" x14ac:dyDescent="0.25">
      <c r="A7" s="62" t="s">
        <v>0</v>
      </c>
      <c r="B7" s="47" t="s">
        <v>1</v>
      </c>
      <c r="C7" s="3" t="s">
        <v>2</v>
      </c>
      <c r="D7" s="3" t="s">
        <v>134</v>
      </c>
      <c r="E7" s="3" t="s">
        <v>3</v>
      </c>
      <c r="F7" s="4" t="s">
        <v>2</v>
      </c>
      <c r="G7" s="4" t="s">
        <v>134</v>
      </c>
      <c r="H7" s="4" t="s">
        <v>3</v>
      </c>
      <c r="I7" s="94" t="s">
        <v>2</v>
      </c>
      <c r="J7" s="94" t="s">
        <v>134</v>
      </c>
      <c r="K7" s="94" t="s">
        <v>3</v>
      </c>
      <c r="M7" s="95" t="s">
        <v>250</v>
      </c>
    </row>
    <row r="8" spans="1:13" x14ac:dyDescent="0.25">
      <c r="A8" s="62" t="s">
        <v>323</v>
      </c>
      <c r="C8" s="63"/>
    </row>
    <row r="9" spans="1:13" ht="18.75" x14ac:dyDescent="0.35">
      <c r="A9" t="s">
        <v>67</v>
      </c>
      <c r="B9" s="21" t="s">
        <v>73</v>
      </c>
      <c r="C9" s="63">
        <v>67.739999999999995</v>
      </c>
      <c r="D9" s="34">
        <v>0.46</v>
      </c>
      <c r="E9" t="s">
        <v>95</v>
      </c>
      <c r="F9" s="70">
        <f>C9*1000/'Astronomiske konstanter'!$E$21</f>
        <v>2.1953038862672029E-18</v>
      </c>
      <c r="G9" s="52">
        <f>D9*1000/'Astronomiske konstanter'!$E$21</f>
        <v>1.4907584701548763E-20</v>
      </c>
      <c r="H9" t="s">
        <v>96</v>
      </c>
      <c r="M9" t="s">
        <v>260</v>
      </c>
    </row>
    <row r="10" spans="1:13" ht="18" x14ac:dyDescent="0.35">
      <c r="A10" t="s">
        <v>223</v>
      </c>
      <c r="B10" s="21" t="s">
        <v>231</v>
      </c>
      <c r="C10" s="70">
        <f>1/F9</f>
        <v>4.5551780154699014E+17</v>
      </c>
      <c r="D10" s="52">
        <f>D9/C9*C10</f>
        <v>3093271164919035.5</v>
      </c>
      <c r="E10" t="s">
        <v>93</v>
      </c>
      <c r="F10" s="39">
        <f>C10/'Astronomiske konstanter'!$C$10/1000000000</f>
        <v>14.434488096274437</v>
      </c>
      <c r="G10" s="39">
        <f>D10/'Astronomiske konstanter'!$C$10/1000000000</f>
        <v>9.8019848306558022E-2</v>
      </c>
      <c r="H10" t="s">
        <v>111</v>
      </c>
      <c r="I10" s="72"/>
      <c r="M10" t="s">
        <v>261</v>
      </c>
    </row>
    <row r="11" spans="1:13" ht="18" x14ac:dyDescent="0.35">
      <c r="A11" t="s">
        <v>224</v>
      </c>
      <c r="B11" s="21" t="s">
        <v>230</v>
      </c>
      <c r="C11" s="70">
        <f>p_c*a_tHubble</f>
        <v>1.3656080138852838E+26</v>
      </c>
      <c r="D11" s="70">
        <f>p_c*D10</f>
        <v>9.2733936579160103E+23</v>
      </c>
      <c r="E11" t="s">
        <v>94</v>
      </c>
      <c r="F11" s="39">
        <f>a_dHubble/a_Gpc</f>
        <v>4.4256341600236198</v>
      </c>
      <c r="G11" s="39">
        <f>D11/a_Gpc</f>
        <v>3.0053022049171315E-2</v>
      </c>
      <c r="H11" t="s">
        <v>225</v>
      </c>
      <c r="I11" s="39">
        <f>F10</f>
        <v>14.434488096274437</v>
      </c>
      <c r="J11" s="39">
        <f>G10</f>
        <v>9.8019848306558022E-2</v>
      </c>
      <c r="K11" t="s">
        <v>232</v>
      </c>
      <c r="M11" t="s">
        <v>262</v>
      </c>
    </row>
    <row r="12" spans="1:13" x14ac:dyDescent="0.25">
      <c r="A12" t="s">
        <v>296</v>
      </c>
      <c r="B12" s="21" t="s">
        <v>297</v>
      </c>
      <c r="C12" s="38">
        <f>C9/100</f>
        <v>0.6774</v>
      </c>
      <c r="D12" s="38">
        <f>D9/100</f>
        <v>4.5999999999999999E-3</v>
      </c>
      <c r="F12" s="39"/>
      <c r="G12" s="39"/>
      <c r="I12" s="72"/>
    </row>
    <row r="13" spans="1:13" ht="18" x14ac:dyDescent="0.35">
      <c r="A13" t="s">
        <v>306</v>
      </c>
      <c r="B13" s="21" t="s">
        <v>307</v>
      </c>
      <c r="C13" s="42">
        <v>13.798999999999999</v>
      </c>
      <c r="D13" s="42">
        <v>2.1000000000000001E-2</v>
      </c>
      <c r="E13" t="s">
        <v>111</v>
      </c>
      <c r="F13" s="39"/>
      <c r="G13" s="45">
        <f>D13*1000</f>
        <v>21</v>
      </c>
      <c r="H13" t="s">
        <v>152</v>
      </c>
      <c r="I13" s="72"/>
    </row>
    <row r="14" spans="1:13" x14ac:dyDescent="0.25">
      <c r="A14" t="s">
        <v>304</v>
      </c>
      <c r="B14" s="21" t="s">
        <v>305</v>
      </c>
      <c r="C14" s="42">
        <v>-0.98</v>
      </c>
      <c r="D14" s="42">
        <v>5.2999999999999999E-2</v>
      </c>
      <c r="F14" s="39"/>
      <c r="G14" s="39"/>
      <c r="I14" s="72"/>
    </row>
    <row r="15" spans="1:13" x14ac:dyDescent="0.25">
      <c r="A15" t="s">
        <v>292</v>
      </c>
      <c r="B15" s="21" t="s">
        <v>293</v>
      </c>
      <c r="C15" s="34">
        <v>0.26700000000000002</v>
      </c>
      <c r="D15" s="34">
        <v>3.9E-2</v>
      </c>
      <c r="F15" s="39"/>
      <c r="G15" s="39"/>
      <c r="I15" s="72"/>
    </row>
    <row r="16" spans="1:13" x14ac:dyDescent="0.25">
      <c r="B16" s="21"/>
    </row>
    <row r="17" spans="1:10" x14ac:dyDescent="0.25">
      <c r="A17" s="1" t="s">
        <v>135</v>
      </c>
      <c r="B17" s="21"/>
    </row>
    <row r="18" spans="1:10" ht="16.5" x14ac:dyDescent="0.3">
      <c r="A18" t="s">
        <v>192</v>
      </c>
      <c r="B18" s="21" t="s">
        <v>138</v>
      </c>
      <c r="C18" s="34">
        <v>2.7254800000000001</v>
      </c>
      <c r="D18" s="34">
        <v>5.6999999999999998E-4</v>
      </c>
      <c r="E18" t="s">
        <v>183</v>
      </c>
    </row>
    <row r="19" spans="1:10" ht="18.75" x14ac:dyDescent="0.35">
      <c r="A19" t="s">
        <v>310</v>
      </c>
      <c r="B19" s="21" t="s">
        <v>317</v>
      </c>
      <c r="C19" s="63">
        <v>5.7</v>
      </c>
      <c r="D19" s="63">
        <v>0.2</v>
      </c>
      <c r="E19" t="s">
        <v>298</v>
      </c>
    </row>
    <row r="20" spans="1:10" x14ac:dyDescent="0.25">
      <c r="A20" t="s">
        <v>299</v>
      </c>
      <c r="B20" s="21" t="s">
        <v>300</v>
      </c>
      <c r="C20" s="34">
        <v>263.99</v>
      </c>
      <c r="D20" s="34">
        <v>0.14000000000000001</v>
      </c>
      <c r="E20" s="85" t="s">
        <v>301</v>
      </c>
    </row>
    <row r="21" spans="1:10" x14ac:dyDescent="0.25">
      <c r="A21" t="s">
        <v>311</v>
      </c>
      <c r="B21" s="21" t="s">
        <v>312</v>
      </c>
      <c r="C21" s="34">
        <v>48.26</v>
      </c>
      <c r="D21" s="34">
        <v>0.03</v>
      </c>
      <c r="E21" s="85" t="s">
        <v>301</v>
      </c>
    </row>
    <row r="22" spans="1:10" ht="18.75" x14ac:dyDescent="0.35">
      <c r="A22" t="s">
        <v>315</v>
      </c>
      <c r="B22" s="21" t="s">
        <v>316</v>
      </c>
      <c r="C22" s="34">
        <v>18</v>
      </c>
      <c r="E22" t="s">
        <v>313</v>
      </c>
      <c r="F22" t="s">
        <v>319</v>
      </c>
    </row>
    <row r="23" spans="1:10" ht="18.75" x14ac:dyDescent="0.35">
      <c r="A23" t="s">
        <v>314</v>
      </c>
      <c r="B23" s="21" t="s">
        <v>318</v>
      </c>
      <c r="C23" s="34">
        <v>0.1</v>
      </c>
      <c r="E23" t="s">
        <v>313</v>
      </c>
      <c r="F23" t="s">
        <v>320</v>
      </c>
    </row>
    <row r="24" spans="1:10" ht="16.5" x14ac:dyDescent="0.3">
      <c r="A24" t="s">
        <v>136</v>
      </c>
      <c r="B24" s="21" t="s">
        <v>137</v>
      </c>
      <c r="C24" s="92">
        <f>(4/11)^(1/3)*C18</f>
        <v>1.9453545638579741</v>
      </c>
      <c r="D24" s="92">
        <f>(4/11)^(1/3)*D18</f>
        <v>4.0684653763705666E-4</v>
      </c>
      <c r="E24" s="93" t="s">
        <v>183</v>
      </c>
    </row>
    <row r="26" spans="1:10" x14ac:dyDescent="0.25">
      <c r="A26" s="1" t="s">
        <v>139</v>
      </c>
      <c r="B26" s="86" t="s">
        <v>294</v>
      </c>
      <c r="C26" s="6"/>
      <c r="D26" s="6"/>
      <c r="F26" s="96" t="s">
        <v>295</v>
      </c>
      <c r="G26" s="97"/>
    </row>
    <row r="27" spans="1:10" ht="16.5" x14ac:dyDescent="0.3">
      <c r="A27" t="s">
        <v>171</v>
      </c>
      <c r="B27" s="87" t="s">
        <v>175</v>
      </c>
      <c r="C27" s="88">
        <v>3.4E-5</v>
      </c>
      <c r="D27" s="6"/>
      <c r="F27" s="97"/>
      <c r="G27" s="97"/>
    </row>
    <row r="28" spans="1:10" ht="16.5" x14ac:dyDescent="0.3">
      <c r="A28" t="s">
        <v>172</v>
      </c>
      <c r="B28" s="87" t="s">
        <v>176</v>
      </c>
      <c r="C28" s="88">
        <v>5.0000000000000002E-5</v>
      </c>
      <c r="D28" s="6"/>
      <c r="F28" s="97"/>
      <c r="G28" s="97"/>
    </row>
    <row r="29" spans="1:10" ht="18" x14ac:dyDescent="0.35">
      <c r="A29" t="s">
        <v>308</v>
      </c>
      <c r="B29" s="87" t="s">
        <v>309</v>
      </c>
      <c r="C29" s="89">
        <f>SUM(C27:C28)</f>
        <v>8.4000000000000009E-5</v>
      </c>
      <c r="D29" s="6"/>
      <c r="F29" s="98">
        <f>C29</f>
        <v>8.4000000000000009E-5</v>
      </c>
      <c r="G29" s="97"/>
    </row>
    <row r="30" spans="1:10" ht="18.75" x14ac:dyDescent="0.35">
      <c r="A30" t="s">
        <v>140</v>
      </c>
      <c r="B30" s="87" t="s">
        <v>327</v>
      </c>
      <c r="C30" s="103">
        <v>2.23E-2</v>
      </c>
      <c r="D30" s="90">
        <v>1.3999999999999999E-4</v>
      </c>
      <c r="F30" s="97"/>
      <c r="G30" s="97"/>
      <c r="I30" s="100"/>
    </row>
    <row r="31" spans="1:10" ht="18" x14ac:dyDescent="0.35">
      <c r="A31" t="s">
        <v>140</v>
      </c>
      <c r="B31" s="87" t="s">
        <v>328</v>
      </c>
      <c r="C31" s="102">
        <f>C30/$C$12/$C$12</f>
        <v>4.8597561544344206E-2</v>
      </c>
      <c r="D31" s="102">
        <f>D30/$C$12/$C$12</f>
        <v>3.0509679893310265E-4</v>
      </c>
      <c r="F31" s="97"/>
      <c r="G31" s="97"/>
      <c r="I31" s="100"/>
    </row>
    <row r="32" spans="1:10" ht="18.75" x14ac:dyDescent="0.35">
      <c r="A32" t="s">
        <v>173</v>
      </c>
      <c r="B32" s="87" t="s">
        <v>329</v>
      </c>
      <c r="C32" s="104">
        <v>0.1188</v>
      </c>
      <c r="D32" s="104">
        <v>1E-3</v>
      </c>
      <c r="F32" s="97"/>
      <c r="G32" s="97"/>
      <c r="I32" s="100"/>
      <c r="J32" s="100"/>
    </row>
    <row r="33" spans="1:10" ht="18" x14ac:dyDescent="0.35">
      <c r="A33" t="s">
        <v>173</v>
      </c>
      <c r="B33" s="87" t="s">
        <v>290</v>
      </c>
      <c r="C33" s="101">
        <f>C32/$C$12/$C$12</f>
        <v>0.2588964265232328</v>
      </c>
      <c r="D33" s="101">
        <f>D32/$C$12/$C$12</f>
        <v>2.1792628495221618E-3</v>
      </c>
      <c r="F33" s="97"/>
      <c r="G33" s="97"/>
      <c r="I33" s="100"/>
      <c r="J33" s="100"/>
    </row>
    <row r="34" spans="1:10" ht="18" x14ac:dyDescent="0.35">
      <c r="A34" t="s">
        <v>174</v>
      </c>
      <c r="B34" s="87" t="s">
        <v>177</v>
      </c>
      <c r="C34" s="101">
        <f>C31+C33</f>
        <v>0.307493988067577</v>
      </c>
      <c r="D34" s="101">
        <f>D31+D33</f>
        <v>2.4843596484552645E-3</v>
      </c>
      <c r="F34" s="99">
        <f>C34*(1-F29)/(C34+C35)</f>
        <v>0.30790107115262572</v>
      </c>
      <c r="G34" s="97"/>
      <c r="H34" s="106"/>
    </row>
    <row r="35" spans="1:10" ht="16.5" x14ac:dyDescent="0.3">
      <c r="A35" t="s">
        <v>141</v>
      </c>
      <c r="B35" s="87" t="s">
        <v>178</v>
      </c>
      <c r="C35" s="90">
        <v>0.69110000000000005</v>
      </c>
      <c r="D35" s="104">
        <v>6.1999999999999998E-3</v>
      </c>
      <c r="F35" s="99">
        <f>C35*(1-F29)/(C34+C35)</f>
        <v>0.69201492884737426</v>
      </c>
      <c r="G35" s="97"/>
    </row>
    <row r="36" spans="1:10" ht="18" x14ac:dyDescent="0.35">
      <c r="A36" t="s">
        <v>142</v>
      </c>
      <c r="B36" s="87" t="s">
        <v>143</v>
      </c>
      <c r="C36" s="90">
        <v>1.0023</v>
      </c>
      <c r="D36" s="90">
        <v>5.4999999999999997E-3</v>
      </c>
      <c r="F36" s="107">
        <f>F29+F34+F35</f>
        <v>1</v>
      </c>
      <c r="G36" s="97"/>
    </row>
    <row r="37" spans="1:10" ht="18" x14ac:dyDescent="0.35">
      <c r="A37" t="s">
        <v>302</v>
      </c>
      <c r="B37" s="87" t="s">
        <v>303</v>
      </c>
      <c r="C37" s="91">
        <f>1-C36</f>
        <v>-2.2999999999999687E-3</v>
      </c>
      <c r="D37" s="91">
        <f>D36</f>
        <v>5.4999999999999997E-3</v>
      </c>
      <c r="F37" s="99">
        <f>1-F36</f>
        <v>0</v>
      </c>
      <c r="G37" s="97"/>
    </row>
    <row r="38" spans="1:10" x14ac:dyDescent="0.25">
      <c r="B38" s="21"/>
    </row>
    <row r="39" spans="1:10" x14ac:dyDescent="0.25">
      <c r="A39" s="1" t="s">
        <v>154</v>
      </c>
      <c r="B39" s="21"/>
      <c r="F39" s="1" t="s">
        <v>196</v>
      </c>
    </row>
    <row r="40" spans="1:10" ht="18.75" x14ac:dyDescent="0.35">
      <c r="A40" t="s">
        <v>155</v>
      </c>
      <c r="B40" s="21" t="s">
        <v>158</v>
      </c>
      <c r="C40" s="65">
        <v>2.4999999999999999E-13</v>
      </c>
      <c r="D40" s="66">
        <v>1E-14</v>
      </c>
      <c r="E40" t="s">
        <v>168</v>
      </c>
      <c r="F40" s="52">
        <f>1/C40</f>
        <v>4000000000000</v>
      </c>
      <c r="G40" t="s">
        <v>197</v>
      </c>
    </row>
    <row r="41" spans="1:10" ht="17.25" x14ac:dyDescent="0.25">
      <c r="B41" s="21"/>
      <c r="C41" s="52">
        <f>C40*1000000000</f>
        <v>2.5000000000000001E-4</v>
      </c>
      <c r="D41" s="67">
        <f>D40*1000000000</f>
        <v>1.0000000000000001E-5</v>
      </c>
      <c r="E41" t="s">
        <v>195</v>
      </c>
      <c r="F41" s="45">
        <f>1/C41</f>
        <v>4000</v>
      </c>
      <c r="G41" t="s">
        <v>198</v>
      </c>
    </row>
    <row r="42" spans="1:10" ht="18" x14ac:dyDescent="0.3">
      <c r="A42" t="s">
        <v>166</v>
      </c>
      <c r="B42" s="21" t="s">
        <v>157</v>
      </c>
      <c r="C42" s="40">
        <v>4.104E-4</v>
      </c>
      <c r="D42" s="66">
        <v>8.9999999999999996E-7</v>
      </c>
      <c r="E42" t="s">
        <v>168</v>
      </c>
      <c r="F42" s="45">
        <f>1/C42</f>
        <v>2436.6471734892789</v>
      </c>
      <c r="G42" t="s">
        <v>197</v>
      </c>
    </row>
    <row r="43" spans="1:10" ht="17.25" x14ac:dyDescent="0.25">
      <c r="B43" s="21"/>
      <c r="C43" s="45">
        <f>C42*1000000000</f>
        <v>410400</v>
      </c>
      <c r="D43" s="45">
        <f>D42*1000000000</f>
        <v>900</v>
      </c>
      <c r="E43" t="s">
        <v>195</v>
      </c>
      <c r="F43" s="52">
        <f>1/C43</f>
        <v>2.4366471734892789E-6</v>
      </c>
      <c r="G43" t="s">
        <v>198</v>
      </c>
    </row>
    <row r="44" spans="1:10" x14ac:dyDescent="0.25">
      <c r="A44" t="s">
        <v>164</v>
      </c>
      <c r="B44" s="21" t="s">
        <v>165</v>
      </c>
      <c r="C44" s="64">
        <f>C40/C42</f>
        <v>6.0916179337231972E-10</v>
      </c>
    </row>
    <row r="45" spans="1:10" ht="18.75" x14ac:dyDescent="0.35">
      <c r="A45" t="s">
        <v>206</v>
      </c>
      <c r="B45" s="21" t="s">
        <v>156</v>
      </c>
      <c r="C45" s="52">
        <f>3*F9^2/8/PI()/p_G</f>
        <v>8.6192895599246063E-27</v>
      </c>
      <c r="D45" s="52">
        <f>3*G9^2/8/PI()/p_G</f>
        <v>3.9746303967593115E-31</v>
      </c>
      <c r="E45" t="s">
        <v>169</v>
      </c>
    </row>
    <row r="46" spans="1:10" ht="18.75" x14ac:dyDescent="0.35">
      <c r="A46" t="s">
        <v>204</v>
      </c>
      <c r="B46" s="21" t="s">
        <v>205</v>
      </c>
      <c r="C46" s="70">
        <f>3/32/PI()*a_MSun*(p_cc/a_GMSun)^3</f>
        <v>1.8429906692971459E+19</v>
      </c>
      <c r="D46" s="53"/>
      <c r="E46" t="s">
        <v>169</v>
      </c>
    </row>
    <row r="47" spans="1:10" x14ac:dyDescent="0.25">
      <c r="B47" s="21"/>
    </row>
    <row r="48" spans="1:10" x14ac:dyDescent="0.25">
      <c r="A48" s="1" t="s">
        <v>144</v>
      </c>
      <c r="B48" s="21"/>
      <c r="F48" s="1" t="s">
        <v>153</v>
      </c>
    </row>
    <row r="49" spans="1:8" ht="18" x14ac:dyDescent="0.35">
      <c r="A49" t="s">
        <v>145</v>
      </c>
      <c r="B49" s="21" t="s">
        <v>146</v>
      </c>
      <c r="C49" s="53">
        <v>5.3899999999999995E-44</v>
      </c>
      <c r="E49" t="s">
        <v>93</v>
      </c>
      <c r="H49" s="53"/>
    </row>
    <row r="50" spans="1:8" x14ac:dyDescent="0.25">
      <c r="B50" s="21"/>
    </row>
    <row r="51" spans="1:8" ht="18" x14ac:dyDescent="0.35">
      <c r="A51" t="s">
        <v>147</v>
      </c>
      <c r="B51" s="21" t="s">
        <v>159</v>
      </c>
      <c r="C51">
        <v>4</v>
      </c>
      <c r="E51" t="s">
        <v>150</v>
      </c>
    </row>
    <row r="52" spans="1:8" ht="18" x14ac:dyDescent="0.35">
      <c r="A52" t="s">
        <v>193</v>
      </c>
      <c r="B52" s="21" t="s">
        <v>160</v>
      </c>
      <c r="C52">
        <v>47</v>
      </c>
      <c r="E52" t="s">
        <v>149</v>
      </c>
      <c r="F52">
        <v>3232</v>
      </c>
      <c r="G52">
        <v>87</v>
      </c>
    </row>
    <row r="53" spans="1:8" ht="18" x14ac:dyDescent="0.35">
      <c r="A53" t="s">
        <v>148</v>
      </c>
      <c r="B53" s="21" t="s">
        <v>170</v>
      </c>
      <c r="C53" s="34">
        <v>377700</v>
      </c>
      <c r="D53" s="34">
        <v>3200</v>
      </c>
      <c r="E53" t="s">
        <v>179</v>
      </c>
      <c r="F53" s="34">
        <v>1090.8900000000001</v>
      </c>
      <c r="G53" s="34">
        <v>0.69</v>
      </c>
    </row>
    <row r="54" spans="1:8" ht="18" x14ac:dyDescent="0.35">
      <c r="A54" t="s">
        <v>151</v>
      </c>
      <c r="B54" s="21" t="s">
        <v>163</v>
      </c>
      <c r="C54">
        <v>180</v>
      </c>
      <c r="E54" t="s">
        <v>152</v>
      </c>
      <c r="F54" s="34">
        <v>8.8000000000000007</v>
      </c>
      <c r="G54" s="34">
        <v>1.5</v>
      </c>
    </row>
    <row r="55" spans="1:8" ht="18" x14ac:dyDescent="0.35">
      <c r="A55" t="s">
        <v>194</v>
      </c>
      <c r="B55" s="21" t="s">
        <v>162</v>
      </c>
      <c r="C55">
        <v>9.8000000000000007</v>
      </c>
      <c r="E55" t="s">
        <v>111</v>
      </c>
    </row>
    <row r="56" spans="1:8" ht="18" x14ac:dyDescent="0.35">
      <c r="A56" t="s">
        <v>330</v>
      </c>
      <c r="B56" s="21" t="s">
        <v>161</v>
      </c>
      <c r="C56" s="42">
        <f>C13</f>
        <v>13.798999999999999</v>
      </c>
      <c r="D56" s="42">
        <f>D13</f>
        <v>2.1000000000000001E-2</v>
      </c>
      <c r="E56" t="s">
        <v>111</v>
      </c>
    </row>
    <row r="57" spans="1:8" x14ac:dyDescent="0.25">
      <c r="B57" s="21"/>
    </row>
    <row r="59" spans="1:8" x14ac:dyDescent="0.25">
      <c r="B59" s="21"/>
    </row>
    <row r="60" spans="1:8" x14ac:dyDescent="0.25">
      <c r="B60" s="21"/>
    </row>
    <row r="61" spans="1:8" x14ac:dyDescent="0.25">
      <c r="B61" s="21"/>
    </row>
    <row r="62" spans="1:8" x14ac:dyDescent="0.25">
      <c r="B62" s="21"/>
    </row>
    <row r="63" spans="1:8" x14ac:dyDescent="0.25">
      <c r="B63" s="2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B1:B2"/>
  <sheetViews>
    <sheetView workbookViewId="0">
      <selection activeCell="F11" sqref="F11"/>
    </sheetView>
  </sheetViews>
  <sheetFormatPr defaultRowHeight="15" x14ac:dyDescent="0.25"/>
  <sheetData>
    <row r="1" spans="2:2" x14ac:dyDescent="0.25">
      <c r="B1" t="s">
        <v>338</v>
      </c>
    </row>
    <row r="2" spans="2:2" x14ac:dyDescent="0.25">
      <c r="B2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37</vt:i4>
      </vt:variant>
    </vt:vector>
  </HeadingPairs>
  <TitlesOfParts>
    <vt:vector size="42" baseType="lpstr">
      <vt:lpstr>Forside</vt:lpstr>
      <vt:lpstr>Fysiske konstanter</vt:lpstr>
      <vt:lpstr>Astronomiske konstanter</vt:lpstr>
      <vt:lpstr>Kosmologiske parmetre</vt:lpstr>
      <vt:lpstr>Ark til opgaver</vt:lpstr>
      <vt:lpstr>a_a</vt:lpstr>
      <vt:lpstr>a_aAnom</vt:lpstr>
      <vt:lpstr>a_aDrak</vt:lpstr>
      <vt:lpstr>a_ae</vt:lpstr>
      <vt:lpstr>a_aSid</vt:lpstr>
      <vt:lpstr>a_aTrop</vt:lpstr>
      <vt:lpstr>a_d</vt:lpstr>
      <vt:lpstr>a_dHubble</vt:lpstr>
      <vt:lpstr>a_GMSun</vt:lpstr>
      <vt:lpstr>a_Gpc</vt:lpstr>
      <vt:lpstr>a_H0</vt:lpstr>
      <vt:lpstr>a_kpc</vt:lpstr>
      <vt:lpstr>a_la</vt:lpstr>
      <vt:lpstr>a_Mpc</vt:lpstr>
      <vt:lpstr>a_MSun</vt:lpstr>
      <vt:lpstr>a_pc</vt:lpstr>
      <vt:lpstr>a_tHubble</vt:lpstr>
      <vt:lpstr>p_c</vt:lpstr>
      <vt:lpstr>p_cc</vt:lpstr>
      <vt:lpstr>p_e</vt:lpstr>
      <vt:lpstr>p_EHydrogen</vt:lpstr>
      <vt:lpstr>p_Epsilon0</vt:lpstr>
      <vt:lpstr>p_G</vt:lpstr>
      <vt:lpstr>p_h</vt:lpstr>
      <vt:lpstr>p_kB</vt:lpstr>
      <vt:lpstr>p_kC</vt:lpstr>
      <vt:lpstr>p_me</vt:lpstr>
      <vt:lpstr>p_meRed</vt:lpstr>
      <vt:lpstr>p_mn</vt:lpstr>
      <vt:lpstr>p_mp</vt:lpstr>
      <vt:lpstr>p_My0</vt:lpstr>
      <vt:lpstr>p_NA</vt:lpstr>
      <vt:lpstr>p_NumDens</vt:lpstr>
      <vt:lpstr>p_RadDens</vt:lpstr>
      <vt:lpstr>p_Rydberg</vt:lpstr>
      <vt:lpstr>p_Stefan</vt:lpstr>
      <vt:lpstr>p_u</vt:lpstr>
    </vt:vector>
  </TitlesOfParts>
  <Company>Udforsk Universet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Nielsen</dc:creator>
  <cp:lastModifiedBy>Holger Nielsen</cp:lastModifiedBy>
  <cp:lastPrinted>2015-01-31T13:40:47Z</cp:lastPrinted>
  <dcterms:created xsi:type="dcterms:W3CDTF">2010-02-04T08:26:23Z</dcterms:created>
  <dcterms:modified xsi:type="dcterms:W3CDTF">2016-11-10T14:47:22Z</dcterms:modified>
</cp:coreProperties>
</file>